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DRN_aprēķins" sheetId="1" r:id="rId1"/>
    <sheet name="Kopsavilkums" sheetId="2" r:id="rId2"/>
  </sheets>
  <definedNames>
    <definedName name="_xlnm.Print_Titles" localSheetId="0">'DRN_aprēķins'!$5:$7</definedName>
  </definedNames>
  <calcPr fullCalcOnLoad="1"/>
</workbook>
</file>

<file path=xl/sharedStrings.xml><?xml version="1.0" encoding="utf-8"?>
<sst xmlns="http://schemas.openxmlformats.org/spreadsheetml/2006/main" count="145" uniqueCount="74">
  <si>
    <t>DRN ieņēmumi, euro</t>
  </si>
  <si>
    <t>Palielinājums pret bāzi, euro</t>
  </si>
  <si>
    <t>Palielinājums valsts pamatbudžetā, euro</t>
  </si>
  <si>
    <t>Palielinājums pašvaldības budžetā, euro</t>
  </si>
  <si>
    <t>3=1x2</t>
  </si>
  <si>
    <t>Bāze 2022</t>
  </si>
  <si>
    <t>Kopsavilkums</t>
  </si>
  <si>
    <t>valsts</t>
  </si>
  <si>
    <t>pašvaldības</t>
  </si>
  <si>
    <t>Prognozētais bāzes pieaugums</t>
  </si>
  <si>
    <t>Bāze 2023</t>
  </si>
  <si>
    <t xml:space="preserve">Valsts un pašvaldību budžeta DRN sadalījums </t>
  </si>
  <si>
    <t xml:space="preserve">DRN objekts </t>
  </si>
  <si>
    <t>VB</t>
  </si>
  <si>
    <t>PB</t>
  </si>
  <si>
    <t>Bāze, euro</t>
  </si>
  <si>
    <t>Ieņēmumi</t>
  </si>
  <si>
    <t>DRN likme</t>
  </si>
  <si>
    <t>KOPĀ</t>
  </si>
  <si>
    <t>Daudzums</t>
  </si>
  <si>
    <t>Likme</t>
  </si>
  <si>
    <t>Palielinājums</t>
  </si>
  <si>
    <t>VB - valsts budžets</t>
  </si>
  <si>
    <t>PB - pašvaldību budžets</t>
  </si>
  <si>
    <t>Bāze 2024</t>
  </si>
  <si>
    <t>Transportlīdzekļi</t>
  </si>
  <si>
    <t>jauns (21,3 euro/t)</t>
  </si>
  <si>
    <t>no 50 uz 110 euro/t</t>
  </si>
  <si>
    <t>2. Ogļūdeņražu ieguve (jauns)</t>
  </si>
  <si>
    <t>3. Transportlīdzekļi (nodokļa palielinājums)</t>
  </si>
  <si>
    <t>Nodokli par transportlīdzekli nodokļu maksātājs maksā pirms transportlīdzekļa pirmās pastāvīgās reģistrācijas Latvijā, tāpēc nav paredzama ceturkšņa ietekme</t>
  </si>
  <si>
    <t>Daudzums, t; kg, vienības</t>
  </si>
  <si>
    <r>
      <t>DRN likme, euro/t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), %</t>
    </r>
  </si>
  <si>
    <t>Sadzīves atkritumu apglabāšana</t>
  </si>
  <si>
    <t>Bīstamo atkritumu apglabāšana</t>
  </si>
  <si>
    <t>PM emisijas</t>
  </si>
  <si>
    <t>no 80 uz 95, 110, 120 euro/t</t>
  </si>
  <si>
    <t>no 85 uz 100, 115, 125 euro/t</t>
  </si>
  <si>
    <t>no PM10 uz PM</t>
  </si>
  <si>
    <t>Par 2022. gadā nepārstrādāto iepakojumu tiks veikts nodokļa maksājums 2023. gadā</t>
  </si>
  <si>
    <t>Paredzēts, ka, nosakot DRN PM, vidēji par 30% pieaugs emisiju apjoms, par ko jāmaksā DRN</t>
  </si>
  <si>
    <t xml:space="preserve">Likumprojekta "Grozījumi Dabas resursu nodokļa likumā" sākotnējās ietekmes novērtējuma ziņojuma (anotācijas)  1. pielikums </t>
  </si>
  <si>
    <t>8. Augsne (nodokļa palielinājums)</t>
  </si>
  <si>
    <t>9. Smilšmāls un mālsmilts, aleirīts (nodokļa palielinājums)</t>
  </si>
  <si>
    <t>10. Smilts un smilts-grants (nodokļa palielinājums)</t>
  </si>
  <si>
    <t>11. Māls (nodokļa palielinājums)</t>
  </si>
  <si>
    <t xml:space="preserve"> </t>
  </si>
  <si>
    <r>
      <t>1. Kūdra kā kurināmais</t>
    </r>
    <r>
      <rPr>
        <b/>
        <sz val="11"/>
        <color indexed="8"/>
        <rFont val="Calibri"/>
        <family val="2"/>
      </rPr>
      <t xml:space="preserve"> (jauns)</t>
    </r>
  </si>
  <si>
    <t>4. Sadzīves atkritumu apglabāšana (nodokļa palielinājums)</t>
  </si>
  <si>
    <t>5. Bīstamo atkritumu apglabāšana (nodokļa palielinājums)</t>
  </si>
  <si>
    <r>
      <t>6. No PM</t>
    </r>
    <r>
      <rPr>
        <b/>
        <vertAlign val="subscript"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uz PM (nodokļa objekta izmaiņas)</t>
    </r>
  </si>
  <si>
    <t>12. Kvarca smilts (nodokļa palielinājums)</t>
  </si>
  <si>
    <t>1,25 euro/kg</t>
  </si>
  <si>
    <t>Augsne</t>
  </si>
  <si>
    <t>Smilšmāls un mālsmilts, aleirīts</t>
  </si>
  <si>
    <t xml:space="preserve"> Smilts un smilts-grants</t>
  </si>
  <si>
    <t>Māls</t>
  </si>
  <si>
    <t>Kvarca smilts</t>
  </si>
  <si>
    <t xml:space="preserve">Kūdra kā kurināmais </t>
  </si>
  <si>
    <t>Nepārstrādājamais plastmasas/kas nesatur pārstrādātu plastmasu iepakojums</t>
  </si>
  <si>
    <t>13. Nepārstrādājamais plastmasas/kas nesatur pārstrādātu plastmasu iepakojums (atcelts atbrīvojums)</t>
  </si>
  <si>
    <t>no 0,86 uz 1,38 euro/t</t>
  </si>
  <si>
    <t>no 0,14 uz 0,22 euro/t</t>
  </si>
  <si>
    <t>no 0,36 uz 0,58 euro/t</t>
  </si>
  <si>
    <t>no 0,21 uz 0,34 euro/t</t>
  </si>
  <si>
    <t>no 0,45 uz 0,67 euro/t</t>
  </si>
  <si>
    <t>Ogļūdeņražu ieguves apjoms ir ierobežotas pieejamības informācija</t>
  </si>
  <si>
    <t>Ierobežota pieejamība</t>
  </si>
  <si>
    <r>
      <t xml:space="preserve">Ogļūdeņražu ieguve
</t>
    </r>
    <r>
      <rPr>
        <b/>
        <sz val="10"/>
        <color indexed="8"/>
        <rFont val="Calibri"/>
        <family val="2"/>
      </rPr>
      <t xml:space="preserve"> (ierobežota</t>
    </r>
    <r>
      <rPr>
        <b/>
        <sz val="11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pieejamība)</t>
    </r>
  </si>
  <si>
    <t>Paredzama 9 mēnešu ietekme, atbrīvojuma atcelšanai par nepārstrādājamu plastmasu - 3 mēnešu ietekme</t>
  </si>
  <si>
    <t>0,90 euro/kg</t>
  </si>
  <si>
    <r>
      <t>jauns (0,70 euro/m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</si>
  <si>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7. Plastmasas un kompozīta iepakojums, kas nav pārstrādāts vai reģenerēts ziņošanas periodā (jauns)</t>
  </si>
  <si>
    <t>Nepārstrādātais vai nereģenerētais iepakojums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</si>
</sst>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.0%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"/>
    <numFmt numFmtId="187" formatCode="_-* #,##0.0\ _€_-;\-* #,##0.0\ _€_-;_-* &quot;-&quot;??\ _€_-;_-@_-"/>
    <numFmt numFmtId="188" formatCode="_-* #,##0.0\ _€_-;\-* #,##0.0\ _€_-;_-* &quot;-&quot;?\ _€_-;_-@_-"/>
    <numFmt numFmtId="189" formatCode="_-* #,##0\ _€_-;\-* #,##0\ _€_-;_-* &quot;-&quot;??\ _€_-;_-@_-"/>
    <numFmt numFmtId="190" formatCode="[$-426]dddd\,\ yyyy\.\ &quot;gada&quot;\ d\.\ mmmm"/>
    <numFmt numFmtId="191" formatCode="#,##0.00000"/>
    <numFmt numFmtId="192" formatCode="#,##0.000000"/>
    <numFmt numFmtId="193" formatCode="#,##0.0000000"/>
    <numFmt numFmtId="194" formatCode="#,##0.00000000"/>
    <numFmt numFmtId="195" formatCode="#,##0.0000"/>
    <numFmt numFmtId="196" formatCode="#,##0.00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wrapText="1" indent="1" shrinkToFit="1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3" fontId="47" fillId="33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0" fontId="47" fillId="8" borderId="11" xfId="0" applyFont="1" applyFill="1" applyBorder="1" applyAlignment="1">
      <alignment horizontal="center" wrapText="1"/>
    </xf>
    <xf numFmtId="3" fontId="0" fillId="35" borderId="10" xfId="0" applyNumberForma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2" xfId="0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47" fillId="34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28" fillId="34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9" fillId="0" borderId="0" xfId="0" applyFont="1" applyAlignment="1">
      <alignment horizontal="right"/>
    </xf>
    <xf numFmtId="1" fontId="47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vertical="top" wrapText="1"/>
    </xf>
    <xf numFmtId="3" fontId="47" fillId="36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7" borderId="0" xfId="0" applyFill="1" applyAlignment="1">
      <alignment/>
    </xf>
    <xf numFmtId="186" fontId="47" fillId="0" borderId="10" xfId="0" applyNumberFormat="1" applyFont="1" applyBorder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4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" fontId="47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28" fillId="34" borderId="10" xfId="0" applyNumberFormat="1" applyFont="1" applyFill="1" applyBorder="1" applyAlignment="1" quotePrefix="1">
      <alignment horizontal="right"/>
    </xf>
    <xf numFmtId="4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 quotePrefix="1">
      <alignment horizontal="right"/>
    </xf>
    <xf numFmtId="3" fontId="26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 quotePrefix="1">
      <alignment horizontal="right"/>
    </xf>
    <xf numFmtId="0" fontId="47" fillId="36" borderId="10" xfId="0" applyFont="1" applyFill="1" applyBorder="1" applyAlignment="1">
      <alignment/>
    </xf>
    <xf numFmtId="3" fontId="0" fillId="11" borderId="10" xfId="0" applyNumberFormat="1" applyFill="1" applyBorder="1" applyAlignment="1">
      <alignment/>
    </xf>
    <xf numFmtId="3" fontId="28" fillId="16" borderId="10" xfId="0" applyNumberFormat="1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0" borderId="10" xfId="0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0" fillId="33" borderId="10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28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 quotePrefix="1">
      <alignment horizontal="right"/>
    </xf>
    <xf numFmtId="0" fontId="0" fillId="16" borderId="10" xfId="0" applyFill="1" applyBorder="1" applyAlignment="1">
      <alignment/>
    </xf>
    <xf numFmtId="1" fontId="0" fillId="16" borderId="10" xfId="0" applyNumberFormat="1" applyFill="1" applyBorder="1" applyAlignment="1">
      <alignment/>
    </xf>
    <xf numFmtId="3" fontId="28" fillId="0" borderId="0" xfId="0" applyNumberFormat="1" applyFont="1" applyAlignment="1">
      <alignment/>
    </xf>
    <xf numFmtId="0" fontId="26" fillId="0" borderId="13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7" fillId="38" borderId="10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3" fontId="51" fillId="38" borderId="10" xfId="0" applyNumberFormat="1" applyFont="1" applyFill="1" applyBorder="1" applyAlignment="1">
      <alignment/>
    </xf>
    <xf numFmtId="3" fontId="52" fillId="38" borderId="10" xfId="0" applyNumberFormat="1" applyFont="1" applyFill="1" applyBorder="1" applyAlignment="1">
      <alignment/>
    </xf>
    <xf numFmtId="3" fontId="28" fillId="13" borderId="10" xfId="0" applyNumberFormat="1" applyFont="1" applyFill="1" applyBorder="1" applyAlignment="1">
      <alignment/>
    </xf>
    <xf numFmtId="0" fontId="0" fillId="13" borderId="10" xfId="0" applyFill="1" applyBorder="1" applyAlignment="1">
      <alignment/>
    </xf>
    <xf numFmtId="3" fontId="0" fillId="13" borderId="10" xfId="0" applyNumberFormat="1" applyFill="1" applyBorder="1" applyAlignment="1">
      <alignment/>
    </xf>
    <xf numFmtId="1" fontId="0" fillId="1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7" borderId="10" xfId="0" applyFill="1" applyBorder="1" applyAlignment="1">
      <alignment/>
    </xf>
    <xf numFmtId="3" fontId="47" fillId="7" borderId="10" xfId="0" applyNumberFormat="1" applyFont="1" applyFill="1" applyBorder="1" applyAlignment="1">
      <alignment/>
    </xf>
    <xf numFmtId="0" fontId="47" fillId="39" borderId="10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39" borderId="17" xfId="0" applyFont="1" applyFill="1" applyBorder="1" applyAlignment="1">
      <alignment horizontal="center"/>
    </xf>
    <xf numFmtId="0" fontId="47" fillId="39" borderId="18" xfId="0" applyFont="1" applyFill="1" applyBorder="1" applyAlignment="1">
      <alignment horizontal="center"/>
    </xf>
    <xf numFmtId="0" fontId="47" fillId="39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3" fontId="28" fillId="13" borderId="24" xfId="0" applyNumberFormat="1" applyFont="1" applyFill="1" applyBorder="1" applyAlignment="1">
      <alignment horizontal="center" vertical="center" wrapText="1"/>
    </xf>
    <xf numFmtId="3" fontId="28" fillId="13" borderId="13" xfId="0" applyNumberFormat="1" applyFont="1" applyFill="1" applyBorder="1" applyAlignment="1">
      <alignment horizontal="center" vertical="center" wrapText="1"/>
    </xf>
    <xf numFmtId="3" fontId="28" fillId="13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10" borderId="10" xfId="0" applyFont="1" applyFill="1" applyBorder="1" applyAlignment="1">
      <alignment horizontal="center"/>
    </xf>
    <xf numFmtId="0" fontId="50" fillId="0" borderId="24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HLevel1" xfId="60"/>
    <cellStyle name="SAPBEXHLevel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tabSelected="1" zoomScalePageLayoutView="90" workbookViewId="0" topLeftCell="A1">
      <pane ySplit="3" topLeftCell="A61" activePane="bottomLeft" state="frozen"/>
      <selection pane="topLeft" activeCell="A1" sqref="A1"/>
      <selection pane="bottomLeft" activeCell="P71" sqref="P71"/>
    </sheetView>
  </sheetViews>
  <sheetFormatPr defaultColWidth="9.140625" defaultRowHeight="15"/>
  <cols>
    <col min="1" max="1" width="17.7109375" style="0" customWidth="1"/>
    <col min="2" max="2" width="12.140625" style="0" customWidth="1"/>
    <col min="3" max="3" width="12.00390625" style="0" customWidth="1"/>
    <col min="4" max="4" width="7.8515625" style="0" customWidth="1"/>
    <col min="5" max="5" width="11.00390625" style="0" customWidth="1"/>
    <col min="6" max="7" width="13.57421875" style="0" customWidth="1"/>
    <col min="8" max="8" width="14.28125" style="0" customWidth="1"/>
    <col min="9" max="9" width="14.57421875" style="0" customWidth="1"/>
    <col min="10" max="10" width="16.28125" style="0" customWidth="1"/>
    <col min="11" max="11" width="9.7109375" style="0" bestFit="1" customWidth="1"/>
    <col min="12" max="12" width="18.140625" style="0" customWidth="1"/>
  </cols>
  <sheetData>
    <row r="1" spans="11:12" ht="77.25" customHeight="1">
      <c r="K1" s="93" t="s">
        <v>41</v>
      </c>
      <c r="L1" s="93"/>
    </row>
    <row r="3" spans="3:10" ht="15.75" thickBot="1">
      <c r="C3" s="23" t="s">
        <v>19</v>
      </c>
      <c r="D3" s="23" t="s">
        <v>20</v>
      </c>
      <c r="E3" s="23" t="s">
        <v>16</v>
      </c>
      <c r="F3" s="23" t="s">
        <v>13</v>
      </c>
      <c r="G3" s="23" t="s">
        <v>14</v>
      </c>
      <c r="H3" s="23" t="s">
        <v>21</v>
      </c>
      <c r="I3" s="23" t="s">
        <v>13</v>
      </c>
      <c r="J3" s="23" t="s">
        <v>14</v>
      </c>
    </row>
    <row r="4" spans="1:10" ht="15.75" thickBot="1">
      <c r="A4" s="94" t="s">
        <v>6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31.5" customHeight="1">
      <c r="A5" s="91"/>
      <c r="B5" s="100" t="s">
        <v>9</v>
      </c>
      <c r="C5" s="91" t="s">
        <v>31</v>
      </c>
      <c r="D5" s="91" t="s">
        <v>32</v>
      </c>
      <c r="E5" s="91" t="s">
        <v>0</v>
      </c>
      <c r="F5" s="21"/>
      <c r="G5" s="21"/>
      <c r="H5" s="101" t="s">
        <v>1</v>
      </c>
      <c r="I5" s="102"/>
      <c r="J5" s="103"/>
    </row>
    <row r="6" spans="1:10" s="1" customFormat="1" ht="42.75" customHeight="1">
      <c r="A6" s="92"/>
      <c r="B6" s="92"/>
      <c r="C6" s="92"/>
      <c r="D6" s="92"/>
      <c r="E6" s="92"/>
      <c r="F6" s="18" t="s">
        <v>7</v>
      </c>
      <c r="G6" s="18" t="s">
        <v>8</v>
      </c>
      <c r="H6" s="10" t="s">
        <v>1</v>
      </c>
      <c r="I6" s="10" t="s">
        <v>2</v>
      </c>
      <c r="J6" s="10" t="s">
        <v>3</v>
      </c>
    </row>
    <row r="7" spans="1:10" ht="15" customHeight="1">
      <c r="A7" s="11"/>
      <c r="B7" s="11"/>
      <c r="C7" s="12">
        <v>1</v>
      </c>
      <c r="D7" s="12">
        <v>2</v>
      </c>
      <c r="E7" s="12" t="s">
        <v>4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</row>
    <row r="8" spans="1:10" ht="15">
      <c r="A8" s="11" t="s">
        <v>5</v>
      </c>
      <c r="B8" s="11"/>
      <c r="C8" s="13"/>
      <c r="D8" s="64"/>
      <c r="E8" s="64">
        <f>E16+E33+E24+E43+E51+E58+E66+E75+E83+E91+E99+E107+E115</f>
        <v>18917142.5</v>
      </c>
      <c r="F8" s="19">
        <f>F16+F33+F24+F43+F51+F58+F66+F75+F83+F91+F99+F107+F115</f>
        <v>16248989</v>
      </c>
      <c r="G8" s="19">
        <f>G16+G33+G24+G43+G51+G58+G66+G75+G83+G91+G99+G107+G115</f>
        <v>2668153.5</v>
      </c>
      <c r="H8" s="16"/>
      <c r="I8" s="14"/>
      <c r="J8" s="15"/>
    </row>
    <row r="9" spans="1:10" ht="15">
      <c r="A9" s="11" t="s">
        <v>10</v>
      </c>
      <c r="B9" s="65"/>
      <c r="C9" s="13"/>
      <c r="D9" s="64"/>
      <c r="E9" s="64">
        <f>E17+E36+E25+E45+E53+E59+E67+E77+E85+E93+E101+E109+E117</f>
        <v>20770914.465625</v>
      </c>
      <c r="F9" s="19">
        <f>F17+F36+F25+F45+F53+F59+F67+F77+F85+F93+F101+F109+F117</f>
        <v>17171033.385</v>
      </c>
      <c r="G9" s="19">
        <f>G17+G36+G25+G45+G53+G59+G67+G77+G85+G93+G101+G109+G117</f>
        <v>3599881.080625</v>
      </c>
      <c r="H9" s="16"/>
      <c r="I9" s="14"/>
      <c r="J9" s="15"/>
    </row>
    <row r="10" spans="1:10" ht="15">
      <c r="A10" s="11" t="s">
        <v>24</v>
      </c>
      <c r="B10" s="66"/>
      <c r="C10" s="13"/>
      <c r="D10" s="64"/>
      <c r="E10" s="64">
        <f>E18+E39+E26+E47+E55+E60+E68+E79+E87+E95+E103+E111+E119</f>
        <v>21221492.5</v>
      </c>
      <c r="F10" s="19">
        <f>F18+F39+F26+F47+F55+F60+F68+F79+F87+F95+F103+F111+F119</f>
        <v>17546079.25</v>
      </c>
      <c r="G10" s="19">
        <f>G18+G39+G26+G47+G55+G60+G68+G79+G87+G95+G103+G111+G119</f>
        <v>3675413.25</v>
      </c>
      <c r="H10" s="16"/>
      <c r="I10" s="14"/>
      <c r="J10" s="15"/>
    </row>
    <row r="11" spans="1:10" ht="15">
      <c r="A11" s="11"/>
      <c r="B11" s="11"/>
      <c r="C11" s="13"/>
      <c r="D11" s="64"/>
      <c r="E11" s="64"/>
      <c r="F11" s="64"/>
      <c r="G11" s="64"/>
      <c r="H11" s="16"/>
      <c r="I11" s="14"/>
      <c r="J11" s="15"/>
    </row>
    <row r="12" spans="1:11" ht="15">
      <c r="A12" s="11">
        <v>2022</v>
      </c>
      <c r="B12" s="11"/>
      <c r="C12" s="22"/>
      <c r="D12" s="13"/>
      <c r="E12" s="13">
        <f>E20+E34+E28+E44+E52+E62+E70+E76+E84+E92+E100+E108+E116</f>
        <v>24961803.125</v>
      </c>
      <c r="F12" s="13">
        <f>F20+F34+F28+F44+F52+F62+F70+F76+F84+F92+F100+F108+F116</f>
        <v>21548454.875</v>
      </c>
      <c r="G12" s="13">
        <f>G20+G34+G28+G44+G52+G62+G70+G76+G84+G92+G100+G108+G116</f>
        <v>3413348.25</v>
      </c>
      <c r="H12" s="13">
        <f>H20+H34+H28+H44+H52+H62+H70+H76+H84+H92+H100+H108+H116</f>
        <v>6044660.625</v>
      </c>
      <c r="I12" s="67">
        <f>I20+I28+I34+I44+I52+I62+I70+I76+I84+I92+I100+I108+I116</f>
        <v>5299465.874999999</v>
      </c>
      <c r="J12" s="67">
        <f>J28+J20+J34+J44+J52+J62+J70+J76+J84+J92+J100+J108+J116</f>
        <v>745194.75</v>
      </c>
      <c r="K12" s="2"/>
    </row>
    <row r="13" spans="1:11" ht="15">
      <c r="A13" s="11">
        <v>2023</v>
      </c>
      <c r="B13" s="11"/>
      <c r="C13" s="22"/>
      <c r="D13" s="13"/>
      <c r="E13" s="13">
        <f>E21+E37+E29+E46+E54+E63+E71+E78+E86+E94+E102+E110+E118</f>
        <v>48089678.80625</v>
      </c>
      <c r="F13" s="13">
        <f>F21+F37+F29+F46+F54+F63+F71+F78+F86+F94+F102+F110+F118</f>
        <v>43405451.80875</v>
      </c>
      <c r="G13" s="13">
        <f>G21+G37+G29+G46+G54+G63+G71+G78+G86+G94+G102+G110+G118</f>
        <v>4684226.997499999</v>
      </c>
      <c r="H13" s="13">
        <f>H21+H37+H29+H46+H54+H63+H71+H78+H86+H94+H102+H110+H118</f>
        <v>27318764.340625</v>
      </c>
      <c r="I13" s="67">
        <f>I21+I37+I29+I46+I54+I63+I71+I78+I86+I94+I102+I110+I118</f>
        <v>26234418.42375</v>
      </c>
      <c r="J13" s="67">
        <f>J29+J21+J36+J46+J54+J63+J71+J78+J86+J94+J102+J110+J118</f>
        <v>1084345.9168749999</v>
      </c>
      <c r="K13" s="2"/>
    </row>
    <row r="14" spans="1:11" ht="15">
      <c r="A14" s="11">
        <v>2024</v>
      </c>
      <c r="B14" s="11"/>
      <c r="C14" s="13"/>
      <c r="D14" s="13"/>
      <c r="E14" s="13">
        <f>E22+E40+E30+E48+E56+E64+E72+E80+E88+E96+E104+E112+E120</f>
        <v>48083463.96525</v>
      </c>
      <c r="F14" s="13">
        <f>F22+F40+F30+F48+F56+F64+F72+F80+F88+F96+F104+F112+F120</f>
        <v>43275221.49165</v>
      </c>
      <c r="G14" s="13">
        <f>G22+G40+G30+G48+G56+G64+G72+G80+G88+G96+G104+G112+G120</f>
        <v>4808242.473599998</v>
      </c>
      <c r="H14" s="13">
        <f>H22+H40+H30+H48+H56+H64+H72+H80+H88+H96+H104+H112+H120</f>
        <v>26861971.46525</v>
      </c>
      <c r="I14" s="67">
        <f>I22+I40+I30+I48+I56+I64+I72+I80+I88+I96+I104+I112+I120</f>
        <v>25729142.24165</v>
      </c>
      <c r="J14" s="67">
        <f>J30+J22+J40+J48+J56+J64+J72+J80+J88+J96+J104+J112+J120</f>
        <v>1132829.2236</v>
      </c>
      <c r="K14" s="2"/>
    </row>
    <row r="15" spans="1:11" ht="15">
      <c r="A15" s="90" t="s">
        <v>47</v>
      </c>
      <c r="B15" s="90"/>
      <c r="C15" s="90"/>
      <c r="D15" s="90"/>
      <c r="E15" s="90"/>
      <c r="F15" s="90"/>
      <c r="G15" s="90"/>
      <c r="H15" s="90"/>
      <c r="I15" s="90"/>
      <c r="J15" s="90"/>
      <c r="K15" s="2"/>
    </row>
    <row r="16" spans="1:10" ht="15">
      <c r="A16" s="11" t="s">
        <v>5</v>
      </c>
      <c r="B16" s="11"/>
      <c r="C16" s="44">
        <v>0</v>
      </c>
      <c r="D16" s="44">
        <v>0</v>
      </c>
      <c r="E16" s="44">
        <v>0</v>
      </c>
      <c r="F16" s="68">
        <v>0</v>
      </c>
      <c r="G16" s="68">
        <v>0</v>
      </c>
      <c r="H16" s="44"/>
      <c r="I16" s="44"/>
      <c r="J16" s="44"/>
    </row>
    <row r="17" spans="1:10" ht="15">
      <c r="A17" s="11" t="s">
        <v>10</v>
      </c>
      <c r="B17" s="11"/>
      <c r="C17" s="43">
        <f>C16+C16*$B$9</f>
        <v>0</v>
      </c>
      <c r="D17" s="44">
        <v>0</v>
      </c>
      <c r="E17" s="44">
        <v>0</v>
      </c>
      <c r="F17" s="68">
        <v>0</v>
      </c>
      <c r="G17" s="68">
        <v>0</v>
      </c>
      <c r="H17" s="44"/>
      <c r="I17" s="44"/>
      <c r="J17" s="44"/>
    </row>
    <row r="18" spans="1:10" ht="15">
      <c r="A18" s="11" t="s">
        <v>24</v>
      </c>
      <c r="B18" s="11"/>
      <c r="C18" s="43">
        <f>C17+C17*$B$10</f>
        <v>0</v>
      </c>
      <c r="D18" s="44">
        <v>0</v>
      </c>
      <c r="E18" s="44">
        <v>0</v>
      </c>
      <c r="F18" s="68">
        <v>0</v>
      </c>
      <c r="G18" s="68">
        <v>0</v>
      </c>
      <c r="H18" s="44"/>
      <c r="I18" s="44"/>
      <c r="J18" s="44"/>
    </row>
    <row r="19" spans="1:10" ht="30.75" customHeight="1">
      <c r="A19" s="9" t="s">
        <v>11</v>
      </c>
      <c r="B19" s="9"/>
      <c r="C19" s="43"/>
      <c r="D19" s="61"/>
      <c r="E19" s="45"/>
      <c r="F19" s="33">
        <v>1</v>
      </c>
      <c r="G19" s="33">
        <v>0</v>
      </c>
      <c r="H19" s="20"/>
      <c r="I19" s="5">
        <v>1</v>
      </c>
      <c r="J19" s="5">
        <v>0</v>
      </c>
    </row>
    <row r="20" spans="1:10" ht="15">
      <c r="A20" s="44">
        <v>2022</v>
      </c>
      <c r="B20" s="44"/>
      <c r="C20" s="69">
        <v>0</v>
      </c>
      <c r="D20" s="44">
        <v>0</v>
      </c>
      <c r="E20" s="43">
        <f>C20*D20/12*9+E16/12*3</f>
        <v>0</v>
      </c>
      <c r="F20" s="43">
        <f>E20</f>
        <v>0</v>
      </c>
      <c r="G20" s="70">
        <v>0</v>
      </c>
      <c r="H20" s="43">
        <f>(E20-E16)</f>
        <v>0</v>
      </c>
      <c r="I20" s="43">
        <f>H20</f>
        <v>0</v>
      </c>
      <c r="J20" s="43">
        <v>0</v>
      </c>
    </row>
    <row r="21" spans="1:10" ht="15">
      <c r="A21" s="44">
        <v>2023</v>
      </c>
      <c r="B21" s="44"/>
      <c r="C21" s="69">
        <v>0</v>
      </c>
      <c r="D21" s="44">
        <v>0</v>
      </c>
      <c r="E21" s="43">
        <f>C21*D21/12*9+E17/12*3</f>
        <v>0</v>
      </c>
      <c r="F21" s="43">
        <f>E21</f>
        <v>0</v>
      </c>
      <c r="G21" s="44">
        <v>0</v>
      </c>
      <c r="H21" s="43">
        <f>E21-E17</f>
        <v>0</v>
      </c>
      <c r="I21" s="43">
        <f>H21</f>
        <v>0</v>
      </c>
      <c r="J21" s="43">
        <v>0</v>
      </c>
    </row>
    <row r="22" spans="1:10" ht="15">
      <c r="A22" s="44">
        <v>2024</v>
      </c>
      <c r="B22" s="44"/>
      <c r="C22" s="69">
        <v>5500</v>
      </c>
      <c r="D22" s="44">
        <v>21.3</v>
      </c>
      <c r="E22" s="17">
        <f>C22*D22/12*9+E18/12*3</f>
        <v>87862.5</v>
      </c>
      <c r="F22" s="17">
        <f>E22</f>
        <v>87862.5</v>
      </c>
      <c r="G22" s="44">
        <v>0</v>
      </c>
      <c r="H22" s="17">
        <f>E22-E18</f>
        <v>87862.5</v>
      </c>
      <c r="I22" s="17">
        <f>H22</f>
        <v>87862.5</v>
      </c>
      <c r="J22" s="43">
        <v>0</v>
      </c>
    </row>
    <row r="23" spans="1:10" ht="15">
      <c r="A23" s="97" t="s">
        <v>28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15">
      <c r="A24" s="11" t="s">
        <v>5</v>
      </c>
      <c r="B24" s="11"/>
      <c r="C24" s="44">
        <v>0</v>
      </c>
      <c r="D24" s="44">
        <v>0</v>
      </c>
      <c r="E24" s="44">
        <v>0</v>
      </c>
      <c r="F24" s="68">
        <v>0</v>
      </c>
      <c r="G24" s="68">
        <v>0</v>
      </c>
      <c r="H24" s="44"/>
      <c r="I24" s="44"/>
      <c r="J24" s="44"/>
    </row>
    <row r="25" spans="1:10" ht="15">
      <c r="A25" s="11" t="s">
        <v>10</v>
      </c>
      <c r="B25" s="11"/>
      <c r="C25" s="43">
        <f>C24+C24*$B$9</f>
        <v>0</v>
      </c>
      <c r="D25" s="44">
        <v>0</v>
      </c>
      <c r="E25" s="44">
        <v>0</v>
      </c>
      <c r="F25" s="68">
        <v>0</v>
      </c>
      <c r="G25" s="68">
        <v>0</v>
      </c>
      <c r="H25" s="44"/>
      <c r="I25" s="44"/>
      <c r="J25" s="44"/>
    </row>
    <row r="26" spans="1:10" ht="15">
      <c r="A26" s="11" t="s">
        <v>24</v>
      </c>
      <c r="B26" s="11"/>
      <c r="C26" s="43">
        <f>C25+C25*$B$10</f>
        <v>0</v>
      </c>
      <c r="D26" s="44">
        <v>0</v>
      </c>
      <c r="E26" s="44">
        <v>0</v>
      </c>
      <c r="F26" s="68">
        <v>0</v>
      </c>
      <c r="G26" s="68">
        <v>0</v>
      </c>
      <c r="H26" s="44"/>
      <c r="I26" s="44"/>
      <c r="J26" s="44"/>
    </row>
    <row r="27" spans="1:10" ht="60">
      <c r="A27" s="9" t="s">
        <v>11</v>
      </c>
      <c r="B27" s="9"/>
      <c r="C27" s="43"/>
      <c r="D27" s="61"/>
      <c r="E27" s="45"/>
      <c r="F27" s="39">
        <v>0.6</v>
      </c>
      <c r="G27" s="39">
        <v>0.4</v>
      </c>
      <c r="H27" s="20"/>
      <c r="I27" s="5">
        <v>0.6</v>
      </c>
      <c r="J27" s="5">
        <v>0.4</v>
      </c>
    </row>
    <row r="28" spans="1:10" ht="15">
      <c r="A28" s="44">
        <v>2022</v>
      </c>
      <c r="B28" s="44"/>
      <c r="C28" s="104" t="s">
        <v>67</v>
      </c>
      <c r="D28" s="83">
        <v>0.7</v>
      </c>
      <c r="E28" s="84">
        <v>0</v>
      </c>
      <c r="F28" s="84">
        <f>E28*0.6</f>
        <v>0</v>
      </c>
      <c r="G28" s="85">
        <f>E28*0.4</f>
        <v>0</v>
      </c>
      <c r="H28" s="84">
        <f>(E28-E24)</f>
        <v>0</v>
      </c>
      <c r="I28" s="84">
        <f>H28*0.6</f>
        <v>0</v>
      </c>
      <c r="J28" s="84">
        <f>H28*0.4</f>
        <v>0</v>
      </c>
    </row>
    <row r="29" spans="1:10" ht="15">
      <c r="A29" s="44">
        <v>2023</v>
      </c>
      <c r="B29" s="44"/>
      <c r="C29" s="105"/>
      <c r="D29" s="83">
        <v>0.7</v>
      </c>
      <c r="E29" s="82">
        <f>(C29*D29)/1.1884</f>
        <v>0</v>
      </c>
      <c r="F29" s="84">
        <f>E29*0.6</f>
        <v>0</v>
      </c>
      <c r="G29" s="85">
        <f>E29*0.4</f>
        <v>0</v>
      </c>
      <c r="H29" s="84">
        <f>E29-E25</f>
        <v>0</v>
      </c>
      <c r="I29" s="84">
        <f>H29*0.6</f>
        <v>0</v>
      </c>
      <c r="J29" s="84">
        <f>H29*0.4</f>
        <v>0</v>
      </c>
    </row>
    <row r="30" spans="1:10" ht="15">
      <c r="A30" s="44">
        <v>2024</v>
      </c>
      <c r="B30" s="44"/>
      <c r="C30" s="106"/>
      <c r="D30" s="83">
        <v>0.7</v>
      </c>
      <c r="E30" s="82">
        <f>(C30*D30)/1.1884</f>
        <v>0</v>
      </c>
      <c r="F30" s="84">
        <f>E30*0.6</f>
        <v>0</v>
      </c>
      <c r="G30" s="85">
        <f>E30*0.4</f>
        <v>0</v>
      </c>
      <c r="H30" s="84">
        <f>E30-E26</f>
        <v>0</v>
      </c>
      <c r="I30" s="84">
        <f>H30*0.6</f>
        <v>0</v>
      </c>
      <c r="J30" s="84">
        <f>H30*0.4</f>
        <v>0</v>
      </c>
    </row>
    <row r="31" spans="1:10" ht="15">
      <c r="A31" s="89" t="s">
        <v>29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60">
      <c r="A32" s="9" t="s">
        <v>11</v>
      </c>
      <c r="B32" s="9"/>
      <c r="C32" s="27"/>
      <c r="D32" s="61"/>
      <c r="E32" s="45"/>
      <c r="F32" s="33">
        <v>1</v>
      </c>
      <c r="G32" s="33">
        <v>0</v>
      </c>
      <c r="H32" s="20"/>
      <c r="I32" s="42">
        <v>1</v>
      </c>
      <c r="J32" s="42">
        <v>0</v>
      </c>
    </row>
    <row r="33" spans="1:10" ht="15">
      <c r="A33" s="9" t="s">
        <v>5</v>
      </c>
      <c r="B33" s="9"/>
      <c r="C33" s="43">
        <v>51000</v>
      </c>
      <c r="D33" s="61">
        <v>55</v>
      </c>
      <c r="E33" s="47">
        <f>C33*D33</f>
        <v>2805000</v>
      </c>
      <c r="F33" s="19">
        <f>E33*1</f>
        <v>2805000</v>
      </c>
      <c r="G33" s="19">
        <v>0</v>
      </c>
      <c r="H33" s="20"/>
      <c r="I33" s="43">
        <f>F33*I32-F33</f>
        <v>0</v>
      </c>
      <c r="J33" s="43">
        <f>F33*J32-G33</f>
        <v>0</v>
      </c>
    </row>
    <row r="34" spans="1:10" ht="15">
      <c r="A34" s="44">
        <v>2022</v>
      </c>
      <c r="B34" s="44"/>
      <c r="C34" s="27">
        <v>51000</v>
      </c>
      <c r="D34" s="5">
        <v>110</v>
      </c>
      <c r="E34" s="27">
        <f>C34*D34</f>
        <v>5610000</v>
      </c>
      <c r="F34" s="43">
        <f>E34</f>
        <v>5610000</v>
      </c>
      <c r="G34" s="43">
        <v>0</v>
      </c>
      <c r="H34" s="71">
        <f>E34-E33</f>
        <v>2805000</v>
      </c>
      <c r="I34" s="71">
        <f>H34*I32</f>
        <v>2805000</v>
      </c>
      <c r="J34" s="72">
        <f>H34*J32</f>
        <v>0</v>
      </c>
    </row>
    <row r="35" spans="1:10" ht="15">
      <c r="A35" s="44"/>
      <c r="B35" s="44"/>
      <c r="C35" s="27"/>
      <c r="D35" s="5"/>
      <c r="E35" s="27"/>
      <c r="F35" s="43"/>
      <c r="G35" s="43"/>
      <c r="H35" s="71"/>
      <c r="I35" s="49">
        <v>1</v>
      </c>
      <c r="J35" s="50">
        <v>0</v>
      </c>
    </row>
    <row r="36" spans="1:10" ht="15">
      <c r="A36" s="9" t="s">
        <v>10</v>
      </c>
      <c r="B36" s="9"/>
      <c r="C36" s="43">
        <v>51000</v>
      </c>
      <c r="D36" s="61">
        <v>55</v>
      </c>
      <c r="E36" s="47">
        <f>C36*D36</f>
        <v>2805000</v>
      </c>
      <c r="F36" s="19">
        <f>E36*1</f>
        <v>2805000</v>
      </c>
      <c r="G36" s="19">
        <v>0</v>
      </c>
      <c r="H36" s="43"/>
      <c r="I36" s="43">
        <f>F36*I35-F36</f>
        <v>0</v>
      </c>
      <c r="J36" s="63">
        <f>F36*J35-G36</f>
        <v>0</v>
      </c>
    </row>
    <row r="37" spans="1:10" ht="15">
      <c r="A37" s="44">
        <v>2023</v>
      </c>
      <c r="B37" s="44"/>
      <c r="C37" s="27">
        <f>C34*0.95</f>
        <v>48450</v>
      </c>
      <c r="D37" s="5">
        <v>110</v>
      </c>
      <c r="E37" s="62">
        <f>C37*D37</f>
        <v>5329500</v>
      </c>
      <c r="F37" s="43">
        <f>E37</f>
        <v>5329500</v>
      </c>
      <c r="G37" s="43">
        <v>0</v>
      </c>
      <c r="H37" s="43">
        <f>(E37-E36)</f>
        <v>2524500</v>
      </c>
      <c r="I37" s="43">
        <f>H37*I35</f>
        <v>2524500</v>
      </c>
      <c r="J37" s="63">
        <f>H37*J35</f>
        <v>0</v>
      </c>
    </row>
    <row r="38" spans="1:10" ht="15">
      <c r="A38" s="44"/>
      <c r="B38" s="44"/>
      <c r="C38" s="27"/>
      <c r="D38" s="5"/>
      <c r="E38" s="62"/>
      <c r="F38" s="43"/>
      <c r="G38" s="43"/>
      <c r="H38" s="43"/>
      <c r="I38" s="53">
        <v>1</v>
      </c>
      <c r="J38" s="54">
        <v>0</v>
      </c>
    </row>
    <row r="39" spans="1:10" ht="15">
      <c r="A39" s="9" t="s">
        <v>24</v>
      </c>
      <c r="B39" s="9"/>
      <c r="C39" s="43">
        <v>51000</v>
      </c>
      <c r="D39" s="61">
        <v>55</v>
      </c>
      <c r="E39" s="47">
        <f>C39*D39</f>
        <v>2805000</v>
      </c>
      <c r="F39" s="19">
        <f>E39</f>
        <v>2805000</v>
      </c>
      <c r="G39" s="19">
        <v>0</v>
      </c>
      <c r="H39" s="43"/>
      <c r="I39" s="43">
        <f>F39*I38-F39</f>
        <v>0</v>
      </c>
      <c r="J39" s="63">
        <f>F39*J38-G39</f>
        <v>0</v>
      </c>
    </row>
    <row r="40" spans="1:10" ht="15">
      <c r="A40" s="44">
        <v>2024</v>
      </c>
      <c r="B40" s="44"/>
      <c r="C40" s="27">
        <f>C37*0.95</f>
        <v>46027.5</v>
      </c>
      <c r="D40" s="5">
        <v>110</v>
      </c>
      <c r="E40" s="62">
        <f>C40*D40</f>
        <v>5063025</v>
      </c>
      <c r="F40" s="43">
        <f>E40</f>
        <v>5063025</v>
      </c>
      <c r="G40" s="43">
        <v>0</v>
      </c>
      <c r="H40" s="43">
        <f>E40-E39</f>
        <v>2258025</v>
      </c>
      <c r="I40" s="43">
        <f>H40*I38</f>
        <v>2258025</v>
      </c>
      <c r="J40" s="63">
        <f>H40*J38</f>
        <v>0</v>
      </c>
    </row>
    <row r="41" spans="1:10" ht="15">
      <c r="A41" s="89" t="s">
        <v>48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60">
      <c r="A42" s="9" t="s">
        <v>11</v>
      </c>
      <c r="B42" s="9"/>
      <c r="C42" s="27"/>
      <c r="D42" s="61"/>
      <c r="E42" s="45"/>
      <c r="F42" s="39"/>
      <c r="G42" s="39"/>
      <c r="H42" s="20"/>
      <c r="I42" s="44"/>
      <c r="J42" s="44"/>
    </row>
    <row r="43" spans="1:10" ht="15">
      <c r="A43" s="9" t="s">
        <v>5</v>
      </c>
      <c r="B43" s="9"/>
      <c r="C43" s="43">
        <v>161500</v>
      </c>
      <c r="D43" s="61">
        <v>80</v>
      </c>
      <c r="E43" s="47">
        <f>C43*D43/12*9+170000*65/12*3</f>
        <v>12452500</v>
      </c>
      <c r="F43" s="19">
        <f>E43*0.9</f>
        <v>11207250</v>
      </c>
      <c r="G43" s="19">
        <f>E43*0.1</f>
        <v>1245250</v>
      </c>
      <c r="H43" s="20"/>
      <c r="I43" s="46">
        <v>0.9</v>
      </c>
      <c r="J43" s="46">
        <v>0.1</v>
      </c>
    </row>
    <row r="44" spans="1:10" ht="15">
      <c r="A44" s="44">
        <v>2022</v>
      </c>
      <c r="B44" s="44"/>
      <c r="C44" s="27">
        <v>161500</v>
      </c>
      <c r="D44" s="5">
        <v>95</v>
      </c>
      <c r="E44" s="24">
        <f>C44*D44/12*9+170000*65/12*3</f>
        <v>14269375</v>
      </c>
      <c r="F44" s="43">
        <f>E44*0.9</f>
        <v>12842437.5</v>
      </c>
      <c r="G44" s="43">
        <f>E44*0.1</f>
        <v>1426937.5</v>
      </c>
      <c r="H44" s="26">
        <f>E44-E43</f>
        <v>1816875</v>
      </c>
      <c r="I44" s="26">
        <f>H44*I43</f>
        <v>1635187.5</v>
      </c>
      <c r="J44" s="48">
        <f>H44*J43</f>
        <v>181687.5</v>
      </c>
    </row>
    <row r="45" spans="1:10" ht="15">
      <c r="A45" s="9" t="s">
        <v>10</v>
      </c>
      <c r="B45" s="9"/>
      <c r="C45" s="43">
        <v>153425</v>
      </c>
      <c r="D45" s="61">
        <v>95</v>
      </c>
      <c r="E45" s="47">
        <f>C45*D45/12*9+C43*D43/12*3</f>
        <v>14161531.25</v>
      </c>
      <c r="F45" s="19">
        <f>E45*0.85</f>
        <v>12037301.5625</v>
      </c>
      <c r="G45" s="19">
        <f>E45*0.15</f>
        <v>2124229.6875</v>
      </c>
      <c r="H45" s="43"/>
      <c r="I45" s="49">
        <v>0.85</v>
      </c>
      <c r="J45" s="50">
        <v>0.15</v>
      </c>
    </row>
    <row r="46" spans="1:10" ht="15">
      <c r="A46" s="44">
        <v>2023</v>
      </c>
      <c r="B46" s="44"/>
      <c r="C46" s="27">
        <f>C44*0.95</f>
        <v>153425</v>
      </c>
      <c r="D46" s="5">
        <v>110</v>
      </c>
      <c r="E46" s="51">
        <f>C46*D46/12*9+C44*D44/12*3</f>
        <v>16493187.5</v>
      </c>
      <c r="F46" s="43">
        <f>E46*0.85</f>
        <v>14019209.375</v>
      </c>
      <c r="G46" s="43">
        <f>E46*0.15</f>
        <v>2473978.125</v>
      </c>
      <c r="H46" s="17">
        <f>(E46-E45)</f>
        <v>2331656.25</v>
      </c>
      <c r="I46" s="17">
        <f>H46*I45</f>
        <v>1981907.8125</v>
      </c>
      <c r="J46" s="52">
        <f>H46*J45</f>
        <v>349748.4375</v>
      </c>
    </row>
    <row r="47" spans="1:10" ht="15">
      <c r="A47" s="9" t="s">
        <v>24</v>
      </c>
      <c r="B47" s="9"/>
      <c r="C47" s="43">
        <v>153425</v>
      </c>
      <c r="D47" s="61">
        <v>95</v>
      </c>
      <c r="E47" s="47">
        <f>C47*D47</f>
        <v>14575375</v>
      </c>
      <c r="F47" s="19">
        <f>E47*0.85</f>
        <v>12389068.75</v>
      </c>
      <c r="G47" s="19">
        <f>E47*0.15</f>
        <v>2186306.25</v>
      </c>
      <c r="H47" s="43"/>
      <c r="I47" s="53">
        <v>0.85</v>
      </c>
      <c r="J47" s="54">
        <v>0.15</v>
      </c>
    </row>
    <row r="48" spans="1:10" ht="15">
      <c r="A48" s="44">
        <v>2024</v>
      </c>
      <c r="B48" s="44"/>
      <c r="C48" s="27">
        <f>C46*0.95</f>
        <v>145753.75</v>
      </c>
      <c r="D48" s="5">
        <v>120</v>
      </c>
      <c r="E48" s="51">
        <f>C48*D48/12*9+C46*D46/12*3</f>
        <v>17337025</v>
      </c>
      <c r="F48" s="43">
        <f>E48*0.85</f>
        <v>14736471.25</v>
      </c>
      <c r="G48" s="43">
        <f>E48*0.15</f>
        <v>2600553.75</v>
      </c>
      <c r="H48" s="17">
        <f>E48-E47</f>
        <v>2761650</v>
      </c>
      <c r="I48" s="17">
        <f>H48*I47</f>
        <v>2347402.5</v>
      </c>
      <c r="J48" s="52">
        <f>H48*J47</f>
        <v>414247.5</v>
      </c>
    </row>
    <row r="49" spans="1:10" ht="15">
      <c r="A49" s="89" t="s">
        <v>49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60">
      <c r="A50" s="9" t="s">
        <v>11</v>
      </c>
      <c r="B50" s="9"/>
      <c r="C50" s="27"/>
      <c r="D50" s="61"/>
      <c r="E50" s="45"/>
      <c r="F50" s="33"/>
      <c r="G50" s="33"/>
      <c r="H50" s="20"/>
      <c r="I50" s="5">
        <v>0.8</v>
      </c>
      <c r="J50" s="5">
        <v>0.2</v>
      </c>
    </row>
    <row r="51" spans="1:10" ht="15">
      <c r="A51" s="9" t="s">
        <v>5</v>
      </c>
      <c r="B51" s="9"/>
      <c r="C51" s="43">
        <v>2492</v>
      </c>
      <c r="D51" s="61">
        <v>85</v>
      </c>
      <c r="E51" s="47">
        <f>C51*D51/12*9+2623*70/12*3</f>
        <v>204767.5</v>
      </c>
      <c r="F51" s="19">
        <f>E51*0.8</f>
        <v>163814</v>
      </c>
      <c r="G51" s="19">
        <f>E51*0.2</f>
        <v>40953.5</v>
      </c>
      <c r="H51" s="20"/>
      <c r="I51" s="46"/>
      <c r="J51" s="46"/>
    </row>
    <row r="52" spans="1:10" ht="15">
      <c r="A52" s="44">
        <v>2022</v>
      </c>
      <c r="B52" s="44"/>
      <c r="C52" s="27">
        <v>2492</v>
      </c>
      <c r="D52" s="5">
        <v>100</v>
      </c>
      <c r="E52" s="24">
        <f>C52*D52/12*9+2623*70/12*3</f>
        <v>232802.5</v>
      </c>
      <c r="F52" s="43">
        <f>E52*I50</f>
        <v>186242</v>
      </c>
      <c r="G52" s="43">
        <f>E52*J50</f>
        <v>46560.5</v>
      </c>
      <c r="H52" s="26">
        <f>E52-E51</f>
        <v>28035</v>
      </c>
      <c r="I52" s="26">
        <f>H52*I50</f>
        <v>22428</v>
      </c>
      <c r="J52" s="48">
        <f>H52*J50</f>
        <v>5607</v>
      </c>
    </row>
    <row r="53" spans="1:10" ht="15">
      <c r="A53" s="9" t="s">
        <v>10</v>
      </c>
      <c r="B53" s="9"/>
      <c r="C53" s="43">
        <v>2367.392875</v>
      </c>
      <c r="D53" s="61">
        <v>100</v>
      </c>
      <c r="E53" s="47">
        <f>C53*D53/12*9+D51*C51/12*3</f>
        <v>230509.465625</v>
      </c>
      <c r="F53" s="19">
        <f>E53*0.8</f>
        <v>184407.5725</v>
      </c>
      <c r="G53" s="19">
        <f>E53*0.2</f>
        <v>46101.893125</v>
      </c>
      <c r="H53" s="43"/>
      <c r="I53" s="49"/>
      <c r="J53" s="50"/>
    </row>
    <row r="54" spans="1:10" ht="15">
      <c r="A54" s="44">
        <v>2023</v>
      </c>
      <c r="B54" s="44"/>
      <c r="C54" s="27">
        <f>C52*0.95</f>
        <v>2367.4</v>
      </c>
      <c r="D54" s="5">
        <v>115</v>
      </c>
      <c r="E54" s="51">
        <f>C54*D54/12*9+C52*D52/12*3</f>
        <v>266488.25</v>
      </c>
      <c r="F54" s="43">
        <f>E54*I50</f>
        <v>213190.6</v>
      </c>
      <c r="G54" s="43">
        <f>E54*J50</f>
        <v>53297.65</v>
      </c>
      <c r="H54" s="17">
        <f>(E54-E53)</f>
        <v>35978.78437499999</v>
      </c>
      <c r="I54" s="17">
        <f>H54*I50</f>
        <v>28783.027499999993</v>
      </c>
      <c r="J54" s="52">
        <f>H54*J50</f>
        <v>7195.756874999998</v>
      </c>
    </row>
    <row r="55" spans="1:10" ht="15">
      <c r="A55" s="9" t="s">
        <v>24</v>
      </c>
      <c r="B55" s="9"/>
      <c r="C55" s="43">
        <v>2367</v>
      </c>
      <c r="D55" s="61">
        <v>100</v>
      </c>
      <c r="E55" s="47">
        <f>C55*D55</f>
        <v>236700</v>
      </c>
      <c r="F55" s="19">
        <f>E55*0.8</f>
        <v>189360</v>
      </c>
      <c r="G55" s="19">
        <f>E55*0.2</f>
        <v>47340</v>
      </c>
      <c r="H55" s="43"/>
      <c r="I55" s="53"/>
      <c r="J55" s="54"/>
    </row>
    <row r="56" spans="1:10" ht="15">
      <c r="A56" s="44">
        <v>2024</v>
      </c>
      <c r="B56" s="44"/>
      <c r="C56" s="27">
        <f>C54*0.95</f>
        <v>2249.03</v>
      </c>
      <c r="D56" s="5">
        <v>125</v>
      </c>
      <c r="E56" s="51">
        <f>C56*D56/12*9+C54*D54/12*3</f>
        <v>278909.3125</v>
      </c>
      <c r="F56" s="43">
        <f>E56*I50</f>
        <v>223127.45</v>
      </c>
      <c r="G56" s="43">
        <f>E56*J50</f>
        <v>55781.8625</v>
      </c>
      <c r="H56" s="17">
        <f>E56-E55</f>
        <v>42209.3125</v>
      </c>
      <c r="I56" s="17">
        <f>H56*I50</f>
        <v>33767.450000000004</v>
      </c>
      <c r="J56" s="52">
        <f>H56*J50</f>
        <v>8441.862500000001</v>
      </c>
    </row>
    <row r="57" spans="1:10" ht="15">
      <c r="A57" s="89" t="s">
        <v>50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15">
      <c r="A58" s="11" t="s">
        <v>5</v>
      </c>
      <c r="B58" s="11"/>
      <c r="C58" s="43">
        <v>8145</v>
      </c>
      <c r="D58" s="61">
        <v>120</v>
      </c>
      <c r="E58" s="47">
        <f>C58*D58/12*9+8266*105/12*3</f>
        <v>950032.5</v>
      </c>
      <c r="F58" s="19">
        <f>E58*0.6</f>
        <v>570019.5</v>
      </c>
      <c r="G58" s="19">
        <f>E58*0.4</f>
        <v>380013</v>
      </c>
      <c r="H58" s="44"/>
      <c r="I58" s="44"/>
      <c r="J58" s="44"/>
    </row>
    <row r="59" spans="1:10" ht="15">
      <c r="A59" s="11" t="s">
        <v>10</v>
      </c>
      <c r="B59" s="11"/>
      <c r="C59" s="43">
        <v>8145</v>
      </c>
      <c r="D59" s="61">
        <v>135</v>
      </c>
      <c r="E59" s="47">
        <f>C59*D59/12*9+D58*C58/12*3</f>
        <v>1069031.25</v>
      </c>
      <c r="F59" s="19">
        <f>E59*0.6</f>
        <v>641418.75</v>
      </c>
      <c r="G59" s="19">
        <f>E59*0.4</f>
        <v>427612.5</v>
      </c>
      <c r="H59" s="44"/>
      <c r="I59" s="44"/>
      <c r="J59" s="44"/>
    </row>
    <row r="60" spans="1:10" ht="15">
      <c r="A60" s="11" t="s">
        <v>24</v>
      </c>
      <c r="B60" s="11"/>
      <c r="C60" s="43">
        <v>8145</v>
      </c>
      <c r="D60" s="61">
        <v>135</v>
      </c>
      <c r="E60" s="47">
        <f>C60*D60</f>
        <v>1099575</v>
      </c>
      <c r="F60" s="19">
        <f>E60*0.6</f>
        <v>659745</v>
      </c>
      <c r="G60" s="19">
        <f>E60*0.4</f>
        <v>439830</v>
      </c>
      <c r="H60" s="44"/>
      <c r="I60" s="44"/>
      <c r="J60" s="44"/>
    </row>
    <row r="61" spans="1:10" ht="60">
      <c r="A61" s="9" t="s">
        <v>11</v>
      </c>
      <c r="B61" s="9"/>
      <c r="C61" s="43"/>
      <c r="D61" s="61"/>
      <c r="E61" s="45"/>
      <c r="F61" s="45"/>
      <c r="G61" s="45"/>
      <c r="H61" s="20"/>
      <c r="I61" s="55">
        <v>0.6</v>
      </c>
      <c r="J61" s="55">
        <v>0.4</v>
      </c>
    </row>
    <row r="62" spans="1:10" ht="15">
      <c r="A62" s="44">
        <v>2022</v>
      </c>
      <c r="B62" s="44"/>
      <c r="C62" s="56">
        <f>(C58*30)/100+C58</f>
        <v>10588.5</v>
      </c>
      <c r="D62" s="42">
        <v>120</v>
      </c>
      <c r="E62" s="17">
        <f>C62*D62/12*9+C58*D58/12*3</f>
        <v>1197315</v>
      </c>
      <c r="F62" s="43">
        <f>E62*I61</f>
        <v>718389</v>
      </c>
      <c r="G62" s="43">
        <f>E62*J61</f>
        <v>478926</v>
      </c>
      <c r="H62" s="17">
        <f>E62-E58</f>
        <v>247282.5</v>
      </c>
      <c r="I62" s="17">
        <f>H62*I61</f>
        <v>148369.5</v>
      </c>
      <c r="J62" s="17">
        <f>H62*J61</f>
        <v>98913</v>
      </c>
    </row>
    <row r="63" spans="1:10" ht="15">
      <c r="A63" s="44">
        <v>2023</v>
      </c>
      <c r="B63" s="44"/>
      <c r="C63" s="56">
        <f>C62*0.97</f>
        <v>10270.845</v>
      </c>
      <c r="D63" s="42">
        <v>135</v>
      </c>
      <c r="E63" s="17">
        <f>C63*D63/12*9+C62*D62/12*3</f>
        <v>1357578.05625</v>
      </c>
      <c r="F63" s="43">
        <f>E63*I61</f>
        <v>814546.8337499999</v>
      </c>
      <c r="G63" s="43">
        <f>E63*J61</f>
        <v>543031.2225</v>
      </c>
      <c r="H63" s="17">
        <f>E63-E59</f>
        <v>288546.8062499999</v>
      </c>
      <c r="I63" s="17">
        <f>H63*I61</f>
        <v>173128.08374999993</v>
      </c>
      <c r="J63" s="17">
        <f>H63*J61</f>
        <v>115418.72249999997</v>
      </c>
    </row>
    <row r="64" spans="1:10" ht="15">
      <c r="A64" s="44">
        <v>2024</v>
      </c>
      <c r="B64" s="44"/>
      <c r="C64" s="56">
        <f>C63*0.97</f>
        <v>9962.71965</v>
      </c>
      <c r="D64" s="42">
        <v>135</v>
      </c>
      <c r="E64" s="43">
        <f>C64*D64</f>
        <v>1344967.15275</v>
      </c>
      <c r="F64" s="43">
        <f>E64*I61</f>
        <v>806980.2916499999</v>
      </c>
      <c r="G64" s="43">
        <f>E64*J61</f>
        <v>537986.8611</v>
      </c>
      <c r="H64" s="43">
        <f>E64-E60</f>
        <v>245392.1527499999</v>
      </c>
      <c r="I64" s="43">
        <f>H64*I61</f>
        <v>147235.29164999994</v>
      </c>
      <c r="J64" s="43">
        <f>H64*J61</f>
        <v>98156.86109999997</v>
      </c>
    </row>
    <row r="65" spans="1:10" ht="15">
      <c r="A65" s="90" t="s">
        <v>72</v>
      </c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5">
      <c r="A66" s="11" t="s">
        <v>5</v>
      </c>
      <c r="B66" s="11"/>
      <c r="C66" s="44">
        <v>0</v>
      </c>
      <c r="D66" s="44">
        <v>0</v>
      </c>
      <c r="E66" s="44">
        <v>0</v>
      </c>
      <c r="F66" s="68">
        <v>0</v>
      </c>
      <c r="G66" s="68">
        <v>0</v>
      </c>
      <c r="H66" s="44"/>
      <c r="I66" s="44"/>
      <c r="J66" s="44"/>
    </row>
    <row r="67" spans="1:10" ht="15">
      <c r="A67" s="11" t="s">
        <v>10</v>
      </c>
      <c r="B67" s="11"/>
      <c r="C67" s="43">
        <f>C66+C66*$B$9</f>
        <v>0</v>
      </c>
      <c r="D67" s="44">
        <v>0</v>
      </c>
      <c r="E67" s="44">
        <v>0</v>
      </c>
      <c r="F67" s="68">
        <v>0</v>
      </c>
      <c r="G67" s="68">
        <v>0</v>
      </c>
      <c r="H67" s="44"/>
      <c r="I67" s="44"/>
      <c r="J67" s="44"/>
    </row>
    <row r="68" spans="1:10" ht="15">
      <c r="A68" s="11" t="s">
        <v>24</v>
      </c>
      <c r="B68" s="11"/>
      <c r="C68" s="43">
        <f>C67+C67*$B$10</f>
        <v>0</v>
      </c>
      <c r="D68" s="44">
        <v>0</v>
      </c>
      <c r="E68" s="44">
        <v>0</v>
      </c>
      <c r="F68" s="68">
        <v>0</v>
      </c>
      <c r="G68" s="68">
        <v>0</v>
      </c>
      <c r="H68" s="44"/>
      <c r="I68" s="44"/>
      <c r="J68" s="44"/>
    </row>
    <row r="69" spans="1:10" ht="30.75" customHeight="1">
      <c r="A69" s="9" t="s">
        <v>11</v>
      </c>
      <c r="B69" s="9"/>
      <c r="C69" s="43"/>
      <c r="D69" s="61"/>
      <c r="E69" s="45"/>
      <c r="F69" s="33">
        <v>1</v>
      </c>
      <c r="G69" s="33">
        <v>0</v>
      </c>
      <c r="H69" s="20"/>
      <c r="I69" s="5">
        <v>1</v>
      </c>
      <c r="J69" s="5">
        <v>0</v>
      </c>
    </row>
    <row r="70" spans="1:10" ht="15">
      <c r="A70" s="44">
        <v>2022</v>
      </c>
      <c r="B70" s="44"/>
      <c r="C70" s="57">
        <v>0</v>
      </c>
      <c r="D70" s="73">
        <v>0.9</v>
      </c>
      <c r="E70" s="58">
        <f>C70*D70/12*9+E66/12*3</f>
        <v>0</v>
      </c>
      <c r="F70" s="58">
        <f>E70</f>
        <v>0</v>
      </c>
      <c r="G70" s="74">
        <v>0</v>
      </c>
      <c r="H70" s="58">
        <f>(E70-E66)</f>
        <v>0</v>
      </c>
      <c r="I70" s="58">
        <f>H70</f>
        <v>0</v>
      </c>
      <c r="J70" s="58">
        <v>0</v>
      </c>
    </row>
    <row r="71" spans="1:10" ht="15">
      <c r="A71" s="44">
        <v>2023</v>
      </c>
      <c r="B71" s="44"/>
      <c r="C71" s="71">
        <v>22700000</v>
      </c>
      <c r="D71" s="44">
        <v>0.9</v>
      </c>
      <c r="E71" s="71">
        <f>C71*D71</f>
        <v>20430000</v>
      </c>
      <c r="F71" s="43">
        <f>E71</f>
        <v>20430000</v>
      </c>
      <c r="G71" s="44">
        <v>0</v>
      </c>
      <c r="H71" s="43">
        <f>E71-E67</f>
        <v>20430000</v>
      </c>
      <c r="I71" s="43">
        <f>H71</f>
        <v>20430000</v>
      </c>
      <c r="J71" s="43">
        <v>0</v>
      </c>
    </row>
    <row r="72" spans="1:10" ht="15">
      <c r="A72" s="44">
        <v>2024</v>
      </c>
      <c r="B72" s="44"/>
      <c r="C72" s="71">
        <v>21400000</v>
      </c>
      <c r="D72" s="44">
        <v>0.9</v>
      </c>
      <c r="E72" s="71">
        <f>C72*D72</f>
        <v>19260000</v>
      </c>
      <c r="F72" s="43">
        <f>E72</f>
        <v>19260000</v>
      </c>
      <c r="G72" s="44">
        <v>0</v>
      </c>
      <c r="H72" s="43">
        <f>E72-E68</f>
        <v>19260000</v>
      </c>
      <c r="I72" s="43">
        <f>H72</f>
        <v>19260000</v>
      </c>
      <c r="J72" s="43">
        <v>0</v>
      </c>
    </row>
    <row r="73" spans="1:10" ht="15">
      <c r="A73" s="90" t="s">
        <v>42</v>
      </c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60">
      <c r="A74" s="9" t="s">
        <v>11</v>
      </c>
      <c r="B74" s="9"/>
      <c r="C74" s="27"/>
      <c r="D74" s="61"/>
      <c r="E74" s="45"/>
      <c r="F74" s="39"/>
      <c r="G74" s="39"/>
      <c r="H74" s="20"/>
      <c r="I74" s="44"/>
      <c r="J74" s="44"/>
    </row>
    <row r="75" spans="1:10" ht="15">
      <c r="A75" s="9" t="s">
        <v>5</v>
      </c>
      <c r="B75" s="9"/>
      <c r="C75" s="43">
        <v>24400</v>
      </c>
      <c r="D75" s="61">
        <v>0.86</v>
      </c>
      <c r="E75" s="47">
        <f>D75*C75</f>
        <v>20984</v>
      </c>
      <c r="F75" s="19">
        <f aca="true" t="shared" si="0" ref="F75:F80">E75*0.6</f>
        <v>12590.4</v>
      </c>
      <c r="G75" s="19">
        <f aca="true" t="shared" si="1" ref="G75:G80">E75*0.4</f>
        <v>8393.6</v>
      </c>
      <c r="H75" s="20"/>
      <c r="I75" s="46">
        <v>0.6</v>
      </c>
      <c r="J75" s="46">
        <v>0.4</v>
      </c>
    </row>
    <row r="76" spans="1:10" ht="15">
      <c r="A76" s="44">
        <v>2022</v>
      </c>
      <c r="B76" s="44"/>
      <c r="C76" s="27">
        <v>24400</v>
      </c>
      <c r="D76" s="5">
        <v>1.38</v>
      </c>
      <c r="E76" s="24">
        <f>C76*D76/12*9+C75*D75/12*3</f>
        <v>30500</v>
      </c>
      <c r="F76" s="43">
        <f t="shared" si="0"/>
        <v>18300</v>
      </c>
      <c r="G76" s="43">
        <f t="shared" si="1"/>
        <v>12200</v>
      </c>
      <c r="H76" s="26">
        <f>E76-E75</f>
        <v>9516</v>
      </c>
      <c r="I76" s="26">
        <f>H76*I75</f>
        <v>5709.599999999999</v>
      </c>
      <c r="J76" s="48">
        <f>H76*J75</f>
        <v>3806.4</v>
      </c>
    </row>
    <row r="77" spans="1:10" ht="15">
      <c r="A77" s="9" t="s">
        <v>10</v>
      </c>
      <c r="B77" s="9"/>
      <c r="C77" s="43">
        <v>24400</v>
      </c>
      <c r="D77" s="61">
        <v>0.86</v>
      </c>
      <c r="E77" s="47">
        <f>C77*D77/12*9+C75*D75/12*3</f>
        <v>20984</v>
      </c>
      <c r="F77" s="19">
        <f t="shared" si="0"/>
        <v>12590.4</v>
      </c>
      <c r="G77" s="19">
        <f t="shared" si="1"/>
        <v>8393.6</v>
      </c>
      <c r="H77" s="43"/>
      <c r="I77" s="46">
        <v>0.6</v>
      </c>
      <c r="J77" s="46">
        <v>0.4</v>
      </c>
    </row>
    <row r="78" spans="1:10" ht="15">
      <c r="A78" s="44">
        <v>2023</v>
      </c>
      <c r="B78" s="44"/>
      <c r="C78" s="27">
        <v>24400</v>
      </c>
      <c r="D78" s="5">
        <v>1.38</v>
      </c>
      <c r="E78" s="62">
        <f>C78*D78</f>
        <v>33672</v>
      </c>
      <c r="F78" s="43">
        <f t="shared" si="0"/>
        <v>20203.2</v>
      </c>
      <c r="G78" s="43">
        <f t="shared" si="1"/>
        <v>13468.800000000001</v>
      </c>
      <c r="H78" s="43">
        <f>(E78-E77)</f>
        <v>12688</v>
      </c>
      <c r="I78" s="43">
        <f>H78*I77</f>
        <v>7612.799999999999</v>
      </c>
      <c r="J78" s="63">
        <f>H78*J77</f>
        <v>5075.200000000001</v>
      </c>
    </row>
    <row r="79" spans="1:10" ht="15">
      <c r="A79" s="9" t="s">
        <v>24</v>
      </c>
      <c r="B79" s="9"/>
      <c r="C79" s="43">
        <v>24400</v>
      </c>
      <c r="D79" s="61">
        <v>0.86</v>
      </c>
      <c r="E79" s="47">
        <f>C79*D79</f>
        <v>20984</v>
      </c>
      <c r="F79" s="19">
        <f t="shared" si="0"/>
        <v>12590.4</v>
      </c>
      <c r="G79" s="19">
        <f t="shared" si="1"/>
        <v>8393.6</v>
      </c>
      <c r="H79" s="43"/>
      <c r="I79" s="46">
        <v>0.6</v>
      </c>
      <c r="J79" s="46">
        <v>0.4</v>
      </c>
    </row>
    <row r="80" spans="1:10" ht="15">
      <c r="A80" s="44">
        <v>2024</v>
      </c>
      <c r="B80" s="44"/>
      <c r="C80" s="27">
        <v>24400</v>
      </c>
      <c r="D80" s="5">
        <v>1.38</v>
      </c>
      <c r="E80" s="62">
        <f>C80*D80</f>
        <v>33672</v>
      </c>
      <c r="F80" s="43">
        <f t="shared" si="0"/>
        <v>20203.2</v>
      </c>
      <c r="G80" s="43">
        <f t="shared" si="1"/>
        <v>13468.800000000001</v>
      </c>
      <c r="H80" s="43">
        <f>E80-E79</f>
        <v>12688</v>
      </c>
      <c r="I80" s="43">
        <f>H80*I79</f>
        <v>7612.799999999999</v>
      </c>
      <c r="J80" s="63">
        <f>H80*J79</f>
        <v>5075.200000000001</v>
      </c>
    </row>
    <row r="81" spans="1:10" ht="15">
      <c r="A81" s="90" t="s">
        <v>43</v>
      </c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60">
      <c r="A82" s="9" t="s">
        <v>11</v>
      </c>
      <c r="B82" s="9"/>
      <c r="C82" s="27"/>
      <c r="D82" s="61"/>
      <c r="E82" s="45"/>
      <c r="F82" s="39"/>
      <c r="G82" s="39"/>
      <c r="H82" s="20"/>
      <c r="I82" s="44"/>
      <c r="J82" s="44"/>
    </row>
    <row r="83" spans="1:10" ht="15">
      <c r="A83" s="9" t="s">
        <v>5</v>
      </c>
      <c r="B83" s="9"/>
      <c r="C83" s="43">
        <v>22250</v>
      </c>
      <c r="D83" s="61">
        <v>0.14</v>
      </c>
      <c r="E83" s="47">
        <f>D83*C83</f>
        <v>3115.0000000000005</v>
      </c>
      <c r="F83" s="19">
        <f aca="true" t="shared" si="2" ref="F83:F88">E83*0.6</f>
        <v>1869.0000000000002</v>
      </c>
      <c r="G83" s="19">
        <f aca="true" t="shared" si="3" ref="G83:G88">E83*0.4</f>
        <v>1246.0000000000002</v>
      </c>
      <c r="H83" s="20"/>
      <c r="I83" s="46">
        <v>0.6</v>
      </c>
      <c r="J83" s="46">
        <v>0.4</v>
      </c>
    </row>
    <row r="84" spans="1:10" ht="15">
      <c r="A84" s="44">
        <v>2022</v>
      </c>
      <c r="B84" s="44"/>
      <c r="C84" s="27">
        <v>22250</v>
      </c>
      <c r="D84" s="5">
        <v>0.22</v>
      </c>
      <c r="E84" s="24">
        <f>C84*D84/12*9+C83*D83/12*3</f>
        <v>4450</v>
      </c>
      <c r="F84" s="43">
        <f t="shared" si="2"/>
        <v>2670</v>
      </c>
      <c r="G84" s="43">
        <f t="shared" si="3"/>
        <v>1780</v>
      </c>
      <c r="H84" s="26">
        <f>E84-E83</f>
        <v>1334.9999999999995</v>
      </c>
      <c r="I84" s="26">
        <f>H84*I83</f>
        <v>800.9999999999997</v>
      </c>
      <c r="J84" s="48">
        <f>H84*J83</f>
        <v>533.9999999999999</v>
      </c>
    </row>
    <row r="85" spans="1:10" ht="15">
      <c r="A85" s="9" t="s">
        <v>10</v>
      </c>
      <c r="B85" s="9"/>
      <c r="C85" s="43">
        <v>22250</v>
      </c>
      <c r="D85" s="61">
        <v>0.14</v>
      </c>
      <c r="E85" s="47">
        <f>C85*D85/12*9+C83*D83/12*3</f>
        <v>3115.0000000000005</v>
      </c>
      <c r="F85" s="19">
        <f t="shared" si="2"/>
        <v>1869.0000000000002</v>
      </c>
      <c r="G85" s="19">
        <f t="shared" si="3"/>
        <v>1246.0000000000002</v>
      </c>
      <c r="H85" s="43"/>
      <c r="I85" s="46">
        <v>0.6</v>
      </c>
      <c r="J85" s="46">
        <v>0.4</v>
      </c>
    </row>
    <row r="86" spans="1:10" ht="15">
      <c r="A86" s="44">
        <v>2023</v>
      </c>
      <c r="B86" s="44"/>
      <c r="C86" s="27">
        <v>22250</v>
      </c>
      <c r="D86" s="5">
        <v>0.22</v>
      </c>
      <c r="E86" s="62">
        <f>C86*D86</f>
        <v>4895</v>
      </c>
      <c r="F86" s="43">
        <f t="shared" si="2"/>
        <v>2937</v>
      </c>
      <c r="G86" s="43">
        <f t="shared" si="3"/>
        <v>1958</v>
      </c>
      <c r="H86" s="43">
        <f>(E86-E85)</f>
        <v>1779.9999999999995</v>
      </c>
      <c r="I86" s="43">
        <f>H86*I85</f>
        <v>1067.9999999999998</v>
      </c>
      <c r="J86" s="63">
        <f>H86*J85</f>
        <v>711.9999999999999</v>
      </c>
    </row>
    <row r="87" spans="1:10" ht="15">
      <c r="A87" s="9" t="s">
        <v>24</v>
      </c>
      <c r="B87" s="9"/>
      <c r="C87" s="43">
        <v>22250</v>
      </c>
      <c r="D87" s="61">
        <v>0.14</v>
      </c>
      <c r="E87" s="47">
        <f>C87*D87</f>
        <v>3115.0000000000005</v>
      </c>
      <c r="F87" s="19">
        <f t="shared" si="2"/>
        <v>1869.0000000000002</v>
      </c>
      <c r="G87" s="19">
        <f t="shared" si="3"/>
        <v>1246.0000000000002</v>
      </c>
      <c r="H87" s="43"/>
      <c r="I87" s="46">
        <v>0.6</v>
      </c>
      <c r="J87" s="46">
        <v>0.4</v>
      </c>
    </row>
    <row r="88" spans="1:10" ht="15">
      <c r="A88" s="44">
        <v>2024</v>
      </c>
      <c r="B88" s="44"/>
      <c r="C88" s="27">
        <v>22250</v>
      </c>
      <c r="D88" s="5">
        <v>0.22</v>
      </c>
      <c r="E88" s="62">
        <f>C88*D88</f>
        <v>4895</v>
      </c>
      <c r="F88" s="43">
        <f t="shared" si="2"/>
        <v>2937</v>
      </c>
      <c r="G88" s="43">
        <f t="shared" si="3"/>
        <v>1958</v>
      </c>
      <c r="H88" s="43">
        <f>E88-E87</f>
        <v>1779.9999999999995</v>
      </c>
      <c r="I88" s="43">
        <f>H88*I87</f>
        <v>1067.9999999999998</v>
      </c>
      <c r="J88" s="63">
        <f>H88*J87</f>
        <v>711.9999999999999</v>
      </c>
    </row>
    <row r="89" spans="1:10" ht="15">
      <c r="A89" s="90" t="s">
        <v>44</v>
      </c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60">
      <c r="A90" s="9" t="s">
        <v>11</v>
      </c>
      <c r="B90" s="9"/>
      <c r="C90" s="27"/>
      <c r="D90" s="61"/>
      <c r="E90" s="45"/>
      <c r="F90" s="39"/>
      <c r="G90" s="39"/>
      <c r="H90" s="20"/>
      <c r="I90" s="44"/>
      <c r="J90" s="44"/>
    </row>
    <row r="91" spans="1:10" ht="15">
      <c r="A91" s="9" t="s">
        <v>5</v>
      </c>
      <c r="B91" s="9"/>
      <c r="C91" s="43">
        <v>6700000</v>
      </c>
      <c r="D91" s="61">
        <v>0.36</v>
      </c>
      <c r="E91" s="47">
        <f>D91*C91</f>
        <v>2412000</v>
      </c>
      <c r="F91" s="19">
        <f aca="true" t="shared" si="4" ref="F91:F96">E91*0.6</f>
        <v>1447200</v>
      </c>
      <c r="G91" s="19">
        <f aca="true" t="shared" si="5" ref="G91:G96">E91*0.4</f>
        <v>964800</v>
      </c>
      <c r="H91" s="20"/>
      <c r="I91" s="46">
        <v>0.6</v>
      </c>
      <c r="J91" s="46">
        <v>0.4</v>
      </c>
    </row>
    <row r="92" spans="1:11" ht="15">
      <c r="A92" s="44">
        <v>2022</v>
      </c>
      <c r="B92" s="44"/>
      <c r="C92" s="27">
        <v>6700000</v>
      </c>
      <c r="D92" s="5">
        <v>0.58</v>
      </c>
      <c r="E92" s="24">
        <f>C92*D92/12*9+C91*D91/12*3</f>
        <v>3517500</v>
      </c>
      <c r="F92" s="43">
        <f t="shared" si="4"/>
        <v>2110500</v>
      </c>
      <c r="G92" s="43">
        <f t="shared" si="5"/>
        <v>1407000</v>
      </c>
      <c r="H92" s="26">
        <f>E92-E91</f>
        <v>1105500</v>
      </c>
      <c r="I92" s="26">
        <f>H92*I91</f>
        <v>663300</v>
      </c>
      <c r="J92" s="48">
        <f>H92*J91</f>
        <v>442200</v>
      </c>
      <c r="K92" s="2"/>
    </row>
    <row r="93" spans="1:11" ht="15">
      <c r="A93" s="9" t="s">
        <v>10</v>
      </c>
      <c r="B93" s="9"/>
      <c r="C93" s="43">
        <v>6700000</v>
      </c>
      <c r="D93" s="61">
        <v>0.36</v>
      </c>
      <c r="E93" s="47">
        <f>C93*D93/12*9+C91*D91/12*3</f>
        <v>2412000</v>
      </c>
      <c r="F93" s="19">
        <f t="shared" si="4"/>
        <v>1447200</v>
      </c>
      <c r="G93" s="19">
        <f t="shared" si="5"/>
        <v>964800</v>
      </c>
      <c r="H93" s="43"/>
      <c r="I93" s="46">
        <v>0.6</v>
      </c>
      <c r="J93" s="46">
        <v>0.4</v>
      </c>
      <c r="K93" s="2"/>
    </row>
    <row r="94" spans="1:11" ht="15">
      <c r="A94" s="44">
        <v>2023</v>
      </c>
      <c r="B94" s="44"/>
      <c r="C94" s="27">
        <v>6700000</v>
      </c>
      <c r="D94" s="5">
        <v>0.58</v>
      </c>
      <c r="E94" s="62">
        <f>C94*D94</f>
        <v>3885999.9999999995</v>
      </c>
      <c r="F94" s="43">
        <f t="shared" si="4"/>
        <v>2331599.9999999995</v>
      </c>
      <c r="G94" s="43">
        <f t="shared" si="5"/>
        <v>1554400</v>
      </c>
      <c r="H94" s="43">
        <f>(E94-E93)</f>
        <v>1473999.9999999995</v>
      </c>
      <c r="I94" s="43">
        <f>H94*I93</f>
        <v>884399.9999999997</v>
      </c>
      <c r="J94" s="63">
        <f>H94*J93</f>
        <v>589599.9999999999</v>
      </c>
      <c r="K94" s="2"/>
    </row>
    <row r="95" spans="1:11" ht="15">
      <c r="A95" s="9" t="s">
        <v>24</v>
      </c>
      <c r="B95" s="9"/>
      <c r="C95" s="43">
        <v>6700000</v>
      </c>
      <c r="D95" s="61">
        <v>0.36</v>
      </c>
      <c r="E95" s="47">
        <f>C95*D95</f>
        <v>2412000</v>
      </c>
      <c r="F95" s="19">
        <f t="shared" si="4"/>
        <v>1447200</v>
      </c>
      <c r="G95" s="19">
        <f t="shared" si="5"/>
        <v>964800</v>
      </c>
      <c r="H95" s="43"/>
      <c r="I95" s="46">
        <v>0.6</v>
      </c>
      <c r="J95" s="46">
        <v>0.4</v>
      </c>
      <c r="K95" s="2"/>
    </row>
    <row r="96" spans="1:11" ht="15" customHeight="1">
      <c r="A96" s="44">
        <v>2024</v>
      </c>
      <c r="B96" s="44"/>
      <c r="C96" s="27">
        <v>6700000</v>
      </c>
      <c r="D96" s="5">
        <v>0.58</v>
      </c>
      <c r="E96" s="62">
        <f>C96*D96</f>
        <v>3885999.9999999995</v>
      </c>
      <c r="F96" s="43">
        <f t="shared" si="4"/>
        <v>2331599.9999999995</v>
      </c>
      <c r="G96" s="43">
        <f t="shared" si="5"/>
        <v>1554400</v>
      </c>
      <c r="H96" s="43">
        <f>E96-E95</f>
        <v>1473999.9999999995</v>
      </c>
      <c r="I96" s="43">
        <f>H96*I95</f>
        <v>884399.9999999997</v>
      </c>
      <c r="J96" s="63">
        <f>H96*J95</f>
        <v>589599.9999999999</v>
      </c>
      <c r="K96" s="2"/>
    </row>
    <row r="97" spans="1:10" ht="15">
      <c r="A97" s="90" t="s">
        <v>45</v>
      </c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60">
      <c r="A98" s="9" t="s">
        <v>11</v>
      </c>
      <c r="B98" s="9"/>
      <c r="C98" s="27"/>
      <c r="D98" s="61"/>
      <c r="E98" s="45"/>
      <c r="F98" s="39"/>
      <c r="G98" s="39"/>
      <c r="H98" s="20"/>
      <c r="I98" s="44"/>
      <c r="J98" s="44"/>
    </row>
    <row r="99" spans="1:10" ht="15">
      <c r="A99" s="9" t="s">
        <v>5</v>
      </c>
      <c r="B99" s="9"/>
      <c r="C99" s="43">
        <v>288350</v>
      </c>
      <c r="D99" s="61">
        <v>0.21</v>
      </c>
      <c r="E99" s="47">
        <f>D99*C99</f>
        <v>60553.5</v>
      </c>
      <c r="F99" s="19">
        <f aca="true" t="shared" si="6" ref="F99:F104">E99*0.6</f>
        <v>36332.1</v>
      </c>
      <c r="G99" s="19">
        <f aca="true" t="shared" si="7" ref="G99:G104">E99*0.4</f>
        <v>24221.4</v>
      </c>
      <c r="H99" s="20"/>
      <c r="I99" s="46">
        <v>0.6</v>
      </c>
      <c r="J99" s="46">
        <v>0.4</v>
      </c>
    </row>
    <row r="100" spans="1:10" ht="15">
      <c r="A100" s="44">
        <v>2022</v>
      </c>
      <c r="B100" s="44"/>
      <c r="C100" s="27">
        <v>288350</v>
      </c>
      <c r="D100" s="5">
        <v>0.34</v>
      </c>
      <c r="E100" s="24">
        <f>C100*D100/12*9+C99*D99/12*3</f>
        <v>88667.625</v>
      </c>
      <c r="F100" s="43">
        <f t="shared" si="6"/>
        <v>53200.575</v>
      </c>
      <c r="G100" s="43">
        <f t="shared" si="7"/>
        <v>35467.05</v>
      </c>
      <c r="H100" s="26">
        <f>E100-E99</f>
        <v>28114.125</v>
      </c>
      <c r="I100" s="26">
        <f>H100*I99</f>
        <v>16868.475</v>
      </c>
      <c r="J100" s="48">
        <f>H100*J99</f>
        <v>11245.650000000001</v>
      </c>
    </row>
    <row r="101" spans="1:10" ht="15">
      <c r="A101" s="9" t="s">
        <v>10</v>
      </c>
      <c r="B101" s="9"/>
      <c r="C101" s="43">
        <v>288350</v>
      </c>
      <c r="D101" s="61">
        <v>0.21</v>
      </c>
      <c r="E101" s="47">
        <f>C101*D101/12*9+C99*D99/12*3</f>
        <v>60553.5</v>
      </c>
      <c r="F101" s="19">
        <f t="shared" si="6"/>
        <v>36332.1</v>
      </c>
      <c r="G101" s="19">
        <f t="shared" si="7"/>
        <v>24221.4</v>
      </c>
      <c r="H101" s="43"/>
      <c r="I101" s="46">
        <v>0.6</v>
      </c>
      <c r="J101" s="46">
        <v>0.4</v>
      </c>
    </row>
    <row r="102" spans="1:10" ht="15">
      <c r="A102" s="44">
        <v>2023</v>
      </c>
      <c r="B102" s="44"/>
      <c r="C102" s="27">
        <v>288350</v>
      </c>
      <c r="D102" s="5">
        <v>0.34</v>
      </c>
      <c r="E102" s="62">
        <f>C102*D102</f>
        <v>98039</v>
      </c>
      <c r="F102" s="43">
        <f t="shared" si="6"/>
        <v>58823.4</v>
      </c>
      <c r="G102" s="43">
        <f t="shared" si="7"/>
        <v>39215.6</v>
      </c>
      <c r="H102" s="43">
        <f>(E102-E101)</f>
        <v>37485.5</v>
      </c>
      <c r="I102" s="43">
        <f>H102*I101</f>
        <v>22491.3</v>
      </c>
      <c r="J102" s="63">
        <f>H102*J101</f>
        <v>14994.2</v>
      </c>
    </row>
    <row r="103" spans="1:10" ht="15">
      <c r="A103" s="9" t="s">
        <v>24</v>
      </c>
      <c r="B103" s="9"/>
      <c r="C103" s="43">
        <v>288350</v>
      </c>
      <c r="D103" s="61">
        <v>0.21</v>
      </c>
      <c r="E103" s="47">
        <f>C103*D103</f>
        <v>60553.5</v>
      </c>
      <c r="F103" s="19">
        <f t="shared" si="6"/>
        <v>36332.1</v>
      </c>
      <c r="G103" s="19">
        <f t="shared" si="7"/>
        <v>24221.4</v>
      </c>
      <c r="H103" s="43"/>
      <c r="I103" s="46">
        <v>0.6</v>
      </c>
      <c r="J103" s="46">
        <v>0.4</v>
      </c>
    </row>
    <row r="104" spans="1:10" ht="15">
      <c r="A104" s="44">
        <v>2024</v>
      </c>
      <c r="B104" s="44"/>
      <c r="C104" s="27">
        <v>288350</v>
      </c>
      <c r="D104" s="5">
        <v>0.34</v>
      </c>
      <c r="E104" s="62">
        <f>C104*D104</f>
        <v>98039</v>
      </c>
      <c r="F104" s="43">
        <f t="shared" si="6"/>
        <v>58823.4</v>
      </c>
      <c r="G104" s="43">
        <f t="shared" si="7"/>
        <v>39215.6</v>
      </c>
      <c r="H104" s="43">
        <f>E104-E103</f>
        <v>37485.5</v>
      </c>
      <c r="I104" s="43">
        <f>H104*I103</f>
        <v>22491.3</v>
      </c>
      <c r="J104" s="63">
        <f>H104*J103</f>
        <v>14994.2</v>
      </c>
    </row>
    <row r="105" spans="1:10" ht="15">
      <c r="A105" s="90" t="s">
        <v>51</v>
      </c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60">
      <c r="A106" s="9" t="s">
        <v>11</v>
      </c>
      <c r="B106" s="9"/>
      <c r="C106" s="27"/>
      <c r="D106" s="61"/>
      <c r="E106" s="45"/>
      <c r="F106" s="39"/>
      <c r="G106" s="39"/>
      <c r="H106" s="20"/>
      <c r="I106" s="44"/>
      <c r="J106" s="44"/>
    </row>
    <row r="107" spans="1:10" ht="15">
      <c r="A107" s="9" t="s">
        <v>5</v>
      </c>
      <c r="B107" s="9"/>
      <c r="C107" s="43">
        <v>18200</v>
      </c>
      <c r="D107" s="61">
        <v>0.45</v>
      </c>
      <c r="E107" s="47">
        <f>D107*C107</f>
        <v>8190</v>
      </c>
      <c r="F107" s="19">
        <f aca="true" t="shared" si="8" ref="F107:F112">E107*0.6</f>
        <v>4914</v>
      </c>
      <c r="G107" s="19">
        <f aca="true" t="shared" si="9" ref="G107:G112">E107*0.4</f>
        <v>3276</v>
      </c>
      <c r="H107" s="20"/>
      <c r="I107" s="46">
        <v>0.6</v>
      </c>
      <c r="J107" s="46">
        <v>0.4</v>
      </c>
    </row>
    <row r="108" spans="1:11" ht="15">
      <c r="A108" s="44">
        <v>2022</v>
      </c>
      <c r="B108" s="44"/>
      <c r="C108" s="43">
        <v>18200</v>
      </c>
      <c r="D108" s="5">
        <v>0.67</v>
      </c>
      <c r="E108" s="24">
        <f>C108*D108/12*9+C107*D107/12*3</f>
        <v>11193</v>
      </c>
      <c r="F108" s="43">
        <f t="shared" si="8"/>
        <v>6715.8</v>
      </c>
      <c r="G108" s="43">
        <f t="shared" si="9"/>
        <v>4477.2</v>
      </c>
      <c r="H108" s="26">
        <f>E108-E107</f>
        <v>3003</v>
      </c>
      <c r="I108" s="26">
        <f>H108*I107</f>
        <v>1801.8</v>
      </c>
      <c r="J108" s="48">
        <f>H108*J107</f>
        <v>1201.2</v>
      </c>
      <c r="K108" t="s">
        <v>46</v>
      </c>
    </row>
    <row r="109" spans="1:10" ht="15">
      <c r="A109" s="9" t="s">
        <v>10</v>
      </c>
      <c r="B109" s="9"/>
      <c r="C109" s="43">
        <v>18200</v>
      </c>
      <c r="D109" s="61">
        <v>0.45</v>
      </c>
      <c r="E109" s="47">
        <f>C109*D109/12*9+C107*D107/12*3</f>
        <v>8190</v>
      </c>
      <c r="F109" s="19">
        <f t="shared" si="8"/>
        <v>4914</v>
      </c>
      <c r="G109" s="19">
        <f t="shared" si="9"/>
        <v>3276</v>
      </c>
      <c r="H109" s="43"/>
      <c r="I109" s="46">
        <v>0.6</v>
      </c>
      <c r="J109" s="46">
        <v>0.4</v>
      </c>
    </row>
    <row r="110" spans="1:10" ht="15">
      <c r="A110" s="44">
        <v>2023</v>
      </c>
      <c r="B110" s="44"/>
      <c r="C110" s="43">
        <v>18200</v>
      </c>
      <c r="D110" s="5">
        <v>0.67</v>
      </c>
      <c r="E110" s="62">
        <f>C110*D110</f>
        <v>12194</v>
      </c>
      <c r="F110" s="43">
        <f t="shared" si="8"/>
        <v>7316.4</v>
      </c>
      <c r="G110" s="43">
        <f t="shared" si="9"/>
        <v>4877.6</v>
      </c>
      <c r="H110" s="43">
        <f>(E110-E109)</f>
        <v>4004</v>
      </c>
      <c r="I110" s="43">
        <f>H110*I109</f>
        <v>2402.4</v>
      </c>
      <c r="J110" s="63">
        <f>H110*J109</f>
        <v>1601.6000000000001</v>
      </c>
    </row>
    <row r="111" spans="1:10" ht="15">
      <c r="A111" s="9" t="s">
        <v>24</v>
      </c>
      <c r="B111" s="9"/>
      <c r="C111" s="43">
        <v>18200</v>
      </c>
      <c r="D111" s="61">
        <v>0.45</v>
      </c>
      <c r="E111" s="47">
        <f>C111*D111</f>
        <v>8190</v>
      </c>
      <c r="F111" s="19">
        <f t="shared" si="8"/>
        <v>4914</v>
      </c>
      <c r="G111" s="19">
        <f t="shared" si="9"/>
        <v>3276</v>
      </c>
      <c r="H111" s="43"/>
      <c r="I111" s="46">
        <v>0.6</v>
      </c>
      <c r="J111" s="46">
        <v>0.4</v>
      </c>
    </row>
    <row r="112" spans="1:10" ht="15">
      <c r="A112" s="44">
        <v>2024</v>
      </c>
      <c r="B112" s="44"/>
      <c r="C112" s="43">
        <v>18200</v>
      </c>
      <c r="D112" s="5">
        <v>0.67</v>
      </c>
      <c r="E112" s="62">
        <f>C112*D112</f>
        <v>12194</v>
      </c>
      <c r="F112" s="43">
        <f t="shared" si="8"/>
        <v>7316.4</v>
      </c>
      <c r="G112" s="43">
        <f t="shared" si="9"/>
        <v>4877.6</v>
      </c>
      <c r="H112" s="43">
        <f>E112-E111</f>
        <v>4004</v>
      </c>
      <c r="I112" s="43">
        <f>H112*I111</f>
        <v>2402.4</v>
      </c>
      <c r="J112" s="63">
        <f>H112*J111</f>
        <v>1601.6000000000001</v>
      </c>
    </row>
    <row r="113" spans="1:10" ht="15">
      <c r="A113" s="89" t="s">
        <v>60</v>
      </c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t="60">
      <c r="A114" s="9" t="s">
        <v>11</v>
      </c>
      <c r="B114" s="9"/>
      <c r="C114" s="27"/>
      <c r="D114" s="61"/>
      <c r="E114" s="45"/>
      <c r="F114" s="33">
        <v>1</v>
      </c>
      <c r="G114" s="33">
        <v>0</v>
      </c>
      <c r="H114" s="20"/>
      <c r="I114" s="5">
        <v>1</v>
      </c>
      <c r="J114" s="5">
        <v>0</v>
      </c>
    </row>
    <row r="115" spans="1:10" ht="15">
      <c r="A115" s="9" t="s">
        <v>5</v>
      </c>
      <c r="B115" s="9"/>
      <c r="C115" s="43">
        <v>0</v>
      </c>
      <c r="D115" s="61">
        <v>0</v>
      </c>
      <c r="E115" s="47">
        <f>C115*D115</f>
        <v>0</v>
      </c>
      <c r="F115" s="19">
        <f aca="true" t="shared" si="10" ref="F115:F120">E115</f>
        <v>0</v>
      </c>
      <c r="G115" s="19">
        <v>0</v>
      </c>
      <c r="H115" s="20"/>
      <c r="I115" s="44">
        <f>F115*I114-F115</f>
        <v>0</v>
      </c>
      <c r="J115" s="44">
        <f>F115*J114-G115</f>
        <v>0</v>
      </c>
    </row>
    <row r="116" spans="1:10" ht="15">
      <c r="A116" s="44">
        <v>2022</v>
      </c>
      <c r="B116" s="44"/>
      <c r="C116" s="27">
        <v>0</v>
      </c>
      <c r="D116" s="5">
        <v>0</v>
      </c>
      <c r="E116" s="8">
        <v>0</v>
      </c>
      <c r="F116" s="43">
        <f t="shared" si="10"/>
        <v>0</v>
      </c>
      <c r="G116" s="43">
        <v>0</v>
      </c>
      <c r="H116" s="7">
        <f>E116-E115</f>
        <v>0</v>
      </c>
      <c r="I116" s="25">
        <f>H116*I114</f>
        <v>0</v>
      </c>
      <c r="J116" s="72">
        <f>H116*J114</f>
        <v>0</v>
      </c>
    </row>
    <row r="117" spans="1:10" ht="15">
      <c r="A117" s="9" t="s">
        <v>10</v>
      </c>
      <c r="B117" s="9"/>
      <c r="C117" s="43">
        <v>0</v>
      </c>
      <c r="D117" s="61">
        <v>0</v>
      </c>
      <c r="E117" s="43">
        <f>C117*D117</f>
        <v>0</v>
      </c>
      <c r="F117" s="19">
        <f t="shared" si="10"/>
        <v>0</v>
      </c>
      <c r="G117" s="19">
        <v>0</v>
      </c>
      <c r="H117" s="43"/>
      <c r="I117" s="43">
        <f>F117*I114-F117</f>
        <v>0</v>
      </c>
      <c r="J117" s="63">
        <f>F117*J114-G117</f>
        <v>0</v>
      </c>
    </row>
    <row r="118" spans="1:10" ht="16.5" customHeight="1">
      <c r="A118" s="44">
        <v>2023</v>
      </c>
      <c r="B118" s="44"/>
      <c r="C118" s="35">
        <v>570000</v>
      </c>
      <c r="D118" s="5">
        <v>1.25</v>
      </c>
      <c r="E118" s="24">
        <f>C118*D118/12*3+E117/12*9</f>
        <v>178125</v>
      </c>
      <c r="F118" s="43">
        <f t="shared" si="10"/>
        <v>178125</v>
      </c>
      <c r="G118" s="43">
        <v>0</v>
      </c>
      <c r="H118" s="17">
        <f>(E118-E117)</f>
        <v>178125</v>
      </c>
      <c r="I118" s="17">
        <f>H118*I114</f>
        <v>178125</v>
      </c>
      <c r="J118" s="63">
        <f>H118*J114</f>
        <v>0</v>
      </c>
    </row>
    <row r="119" spans="1:10" ht="15">
      <c r="A119" s="9" t="s">
        <v>24</v>
      </c>
      <c r="B119" s="9"/>
      <c r="C119" s="43">
        <v>0</v>
      </c>
      <c r="D119" s="61">
        <v>0</v>
      </c>
      <c r="E119" s="43">
        <f>C119*D119</f>
        <v>0</v>
      </c>
      <c r="F119" s="19">
        <f t="shared" si="10"/>
        <v>0</v>
      </c>
      <c r="G119" s="19">
        <v>0</v>
      </c>
      <c r="H119" s="43"/>
      <c r="I119" s="43">
        <f>F119*I114-F119</f>
        <v>0</v>
      </c>
      <c r="J119" s="63">
        <f>F119*J114-G119</f>
        <v>0</v>
      </c>
    </row>
    <row r="120" spans="1:10" ht="15">
      <c r="A120" s="44">
        <v>2024</v>
      </c>
      <c r="B120" s="44"/>
      <c r="C120" s="35">
        <f>C118*0.95</f>
        <v>541500</v>
      </c>
      <c r="D120" s="5">
        <v>1.25</v>
      </c>
      <c r="E120" s="62">
        <f>C120*D120</f>
        <v>676875</v>
      </c>
      <c r="F120" s="43">
        <f t="shared" si="10"/>
        <v>676875</v>
      </c>
      <c r="G120" s="43">
        <v>0</v>
      </c>
      <c r="H120" s="43">
        <f>E120-E119</f>
        <v>676875</v>
      </c>
      <c r="I120" s="43">
        <f>H120*I114</f>
        <v>676875</v>
      </c>
      <c r="J120" s="63">
        <f>H120*J114</f>
        <v>0</v>
      </c>
    </row>
    <row r="121" spans="3:10" ht="15">
      <c r="C121" s="75"/>
      <c r="E121" s="75"/>
      <c r="F121" s="2"/>
      <c r="H121" s="2"/>
      <c r="I121" s="2"/>
      <c r="J121" s="2"/>
    </row>
    <row r="122" spans="3:10" ht="15">
      <c r="C122" s="75"/>
      <c r="E122" s="75"/>
      <c r="F122" s="2"/>
      <c r="H122" s="2"/>
      <c r="I122" s="2"/>
      <c r="J122" s="2"/>
    </row>
    <row r="123" spans="1:9" ht="15">
      <c r="A123" s="40" t="s">
        <v>69</v>
      </c>
      <c r="B123" s="40"/>
      <c r="C123" s="41"/>
      <c r="D123" s="41"/>
      <c r="E123" s="41"/>
      <c r="F123" s="41"/>
      <c r="G123" s="41"/>
      <c r="H123" s="41"/>
      <c r="I123" s="41"/>
    </row>
    <row r="124" ht="15">
      <c r="A124" t="s">
        <v>30</v>
      </c>
    </row>
    <row r="125" spans="1:10" ht="15">
      <c r="A125" s="23" t="s">
        <v>22</v>
      </c>
      <c r="J125" s="30"/>
    </row>
    <row r="126" ht="15">
      <c r="A126" s="23" t="s">
        <v>23</v>
      </c>
    </row>
    <row r="127" spans="1:10" ht="15">
      <c r="A127" s="38" t="s">
        <v>66</v>
      </c>
      <c r="B127" s="38"/>
      <c r="C127" s="38"/>
      <c r="D127" s="38"/>
      <c r="E127" s="38"/>
      <c r="F127" s="86"/>
      <c r="G127" s="86"/>
      <c r="H127" s="86"/>
      <c r="I127" s="86"/>
      <c r="J127" s="86"/>
    </row>
    <row r="128" spans="1:7" ht="15">
      <c r="A128" s="60" t="s">
        <v>40</v>
      </c>
      <c r="B128" s="60"/>
      <c r="C128" s="60"/>
      <c r="D128" s="60"/>
      <c r="E128" s="60"/>
      <c r="F128" s="60"/>
      <c r="G128" s="60"/>
    </row>
    <row r="129" spans="1:6" ht="15">
      <c r="A129" s="59" t="s">
        <v>39</v>
      </c>
      <c r="B129" s="59"/>
      <c r="C129" s="59"/>
      <c r="D129" s="59"/>
      <c r="E129" s="59"/>
      <c r="F129" s="59"/>
    </row>
    <row r="165" ht="15" customHeight="1"/>
    <row r="173" spans="11:12" ht="15">
      <c r="K173" s="30"/>
      <c r="L173" s="30"/>
    </row>
    <row r="181" spans="11:12" ht="15">
      <c r="K181" s="30"/>
      <c r="L181" s="30"/>
    </row>
    <row r="189" spans="11:12" ht="15">
      <c r="K189" s="30"/>
      <c r="L189" s="30"/>
    </row>
    <row r="197" ht="15" customHeight="1"/>
  </sheetData>
  <sheetProtection/>
  <mergeCells count="22">
    <mergeCell ref="A97:J97"/>
    <mergeCell ref="H5:J5"/>
    <mergeCell ref="C28:C30"/>
    <mergeCell ref="K1:L1"/>
    <mergeCell ref="A73:J73"/>
    <mergeCell ref="A57:J57"/>
    <mergeCell ref="A65:J65"/>
    <mergeCell ref="A4:J4"/>
    <mergeCell ref="A23:J23"/>
    <mergeCell ref="B5:B6"/>
    <mergeCell ref="A31:J31"/>
    <mergeCell ref="D5:D6"/>
    <mergeCell ref="A113:J113"/>
    <mergeCell ref="A41:J41"/>
    <mergeCell ref="A49:J49"/>
    <mergeCell ref="A81:J81"/>
    <mergeCell ref="A89:J89"/>
    <mergeCell ref="E5:E6"/>
    <mergeCell ref="A105:J105"/>
    <mergeCell ref="A15:J15"/>
    <mergeCell ref="A5:A6"/>
    <mergeCell ref="C5:C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110" zoomScaleNormal="110" zoomScalePageLayoutView="0" workbookViewId="0" topLeftCell="A1">
      <selection activeCell="C11" sqref="C11"/>
    </sheetView>
  </sheetViews>
  <sheetFormatPr defaultColWidth="9.140625" defaultRowHeight="15"/>
  <cols>
    <col min="1" max="1" width="4.421875" style="0" customWidth="1"/>
    <col min="2" max="2" width="20.8515625" style="0" customWidth="1"/>
    <col min="3" max="3" width="14.140625" style="0" customWidth="1"/>
    <col min="4" max="4" width="11.28125" style="0" bestFit="1" customWidth="1"/>
    <col min="5" max="5" width="11.421875" style="0" customWidth="1"/>
    <col min="6" max="6" width="10.140625" style="0" bestFit="1" customWidth="1"/>
    <col min="7" max="7" width="13.00390625" style="0" customWidth="1"/>
    <col min="8" max="8" width="11.28125" style="0" bestFit="1" customWidth="1"/>
    <col min="9" max="9" width="10.421875" style="0" bestFit="1" customWidth="1"/>
    <col min="10" max="10" width="11.57421875" style="0" bestFit="1" customWidth="1"/>
    <col min="11" max="11" width="12.57421875" style="0" customWidth="1"/>
    <col min="12" max="12" width="10.140625" style="0" bestFit="1" customWidth="1"/>
    <col min="13" max="13" width="12.57421875" style="0" customWidth="1"/>
    <col min="14" max="14" width="11.28125" style="0" customWidth="1"/>
    <col min="15" max="15" width="11.00390625" style="0" customWidth="1"/>
    <col min="16" max="16" width="11.421875" style="0" customWidth="1"/>
    <col min="17" max="17" width="12.7109375" style="0" customWidth="1"/>
    <col min="18" max="18" width="10.140625" style="0" bestFit="1" customWidth="1"/>
    <col min="19" max="19" width="13.28125" style="0" customWidth="1"/>
    <col min="20" max="20" width="11.28125" style="0" bestFit="1" customWidth="1"/>
    <col min="21" max="21" width="10.140625" style="0" bestFit="1" customWidth="1"/>
  </cols>
  <sheetData>
    <row r="1" spans="1:21" ht="21" customHeight="1">
      <c r="A1" s="111"/>
      <c r="B1" s="109" t="s">
        <v>12</v>
      </c>
      <c r="C1" s="112" t="s">
        <v>17</v>
      </c>
      <c r="D1" s="107">
        <v>2022</v>
      </c>
      <c r="E1" s="107"/>
      <c r="F1" s="107"/>
      <c r="G1" s="107"/>
      <c r="H1" s="107"/>
      <c r="I1" s="107"/>
      <c r="J1" s="108">
        <v>2023</v>
      </c>
      <c r="K1" s="108"/>
      <c r="L1" s="108"/>
      <c r="M1" s="108"/>
      <c r="N1" s="108"/>
      <c r="O1" s="108"/>
      <c r="P1" s="107">
        <v>2024</v>
      </c>
      <c r="Q1" s="107"/>
      <c r="R1" s="107"/>
      <c r="S1" s="107"/>
      <c r="T1" s="107"/>
      <c r="U1" s="107"/>
    </row>
    <row r="2" spans="1:21" ht="30.75" customHeight="1">
      <c r="A2" s="111"/>
      <c r="B2" s="110"/>
      <c r="C2" s="112"/>
      <c r="D2" s="28" t="s">
        <v>15</v>
      </c>
      <c r="E2" s="29" t="s">
        <v>13</v>
      </c>
      <c r="F2" s="29" t="s">
        <v>14</v>
      </c>
      <c r="G2" s="28" t="s">
        <v>1</v>
      </c>
      <c r="H2" s="29" t="s">
        <v>13</v>
      </c>
      <c r="I2" s="29" t="s">
        <v>14</v>
      </c>
      <c r="J2" s="28" t="s">
        <v>15</v>
      </c>
      <c r="K2" s="29" t="s">
        <v>13</v>
      </c>
      <c r="L2" s="29" t="s">
        <v>14</v>
      </c>
      <c r="M2" s="28" t="s">
        <v>1</v>
      </c>
      <c r="N2" s="29" t="s">
        <v>13</v>
      </c>
      <c r="O2" s="29" t="s">
        <v>14</v>
      </c>
      <c r="P2" s="28" t="s">
        <v>15</v>
      </c>
      <c r="Q2" s="29" t="s">
        <v>13</v>
      </c>
      <c r="R2" s="29" t="s">
        <v>14</v>
      </c>
      <c r="S2" s="28" t="s">
        <v>1</v>
      </c>
      <c r="T2" s="29" t="s">
        <v>13</v>
      </c>
      <c r="U2" s="29" t="s">
        <v>14</v>
      </c>
    </row>
    <row r="3" spans="1:21" ht="30">
      <c r="A3" s="3">
        <v>1</v>
      </c>
      <c r="B3" s="31" t="s">
        <v>58</v>
      </c>
      <c r="C3" s="9" t="s">
        <v>26</v>
      </c>
      <c r="D3" s="3">
        <v>0</v>
      </c>
      <c r="E3" s="3">
        <v>0</v>
      </c>
      <c r="F3" s="3">
        <v>0</v>
      </c>
      <c r="G3" s="27">
        <f>DRN_aprēķins!H20</f>
        <v>0</v>
      </c>
      <c r="H3" s="27">
        <f>DRN_aprēķins!I20</f>
        <v>0</v>
      </c>
      <c r="I3" s="27">
        <f>DRN_aprēķins!J20</f>
        <v>0</v>
      </c>
      <c r="J3" s="3">
        <v>0</v>
      </c>
      <c r="K3" s="3">
        <v>0</v>
      </c>
      <c r="L3" s="3">
        <v>0</v>
      </c>
      <c r="M3" s="27">
        <f>DRN_aprēķins!H21</f>
        <v>0</v>
      </c>
      <c r="N3" s="27">
        <f>DRN_aprēķins!I21</f>
        <v>0</v>
      </c>
      <c r="O3" s="27">
        <f>DRN_aprēķins!J21</f>
        <v>0</v>
      </c>
      <c r="P3" s="3">
        <v>0</v>
      </c>
      <c r="Q3" s="3">
        <v>0</v>
      </c>
      <c r="R3" s="3">
        <v>0</v>
      </c>
      <c r="S3" s="27">
        <f>DRN_aprēķins!H22</f>
        <v>87862.5</v>
      </c>
      <c r="T3" s="27">
        <f>DRN_aprēķins!I22</f>
        <v>87862.5</v>
      </c>
      <c r="U3" s="27">
        <f>DRN_aprēķins!J22</f>
        <v>0</v>
      </c>
    </row>
    <row r="4" spans="1:21" ht="32.25">
      <c r="A4" s="3">
        <v>2</v>
      </c>
      <c r="B4" s="31" t="s">
        <v>68</v>
      </c>
      <c r="C4" s="9" t="s">
        <v>71</v>
      </c>
      <c r="D4" s="87">
        <v>0</v>
      </c>
      <c r="E4" s="87">
        <v>0</v>
      </c>
      <c r="F4" s="87">
        <v>0</v>
      </c>
      <c r="G4" s="88">
        <f>DRN_aprēķins!H28</f>
        <v>0</v>
      </c>
      <c r="H4" s="88">
        <f>DRN_aprēķins!I28</f>
        <v>0</v>
      </c>
      <c r="I4" s="88">
        <f>DRN_aprēķins!J28</f>
        <v>0</v>
      </c>
      <c r="J4" s="87">
        <v>0</v>
      </c>
      <c r="K4" s="87">
        <v>0</v>
      </c>
      <c r="L4" s="87">
        <v>0</v>
      </c>
      <c r="M4" s="88">
        <f>DRN_aprēķins!H29</f>
        <v>0</v>
      </c>
      <c r="N4" s="88">
        <f>DRN_aprēķins!I29</f>
        <v>0</v>
      </c>
      <c r="O4" s="88">
        <f>DRN_aprēķins!J29</f>
        <v>0</v>
      </c>
      <c r="P4" s="87">
        <v>0</v>
      </c>
      <c r="Q4" s="87">
        <v>0</v>
      </c>
      <c r="R4" s="87">
        <v>0</v>
      </c>
      <c r="S4" s="88">
        <f>DRN_aprēķins!H30</f>
        <v>0</v>
      </c>
      <c r="T4" s="88">
        <f>DRN_aprēķins!I30</f>
        <v>0</v>
      </c>
      <c r="U4" s="88">
        <f>DRN_aprēķins!J30</f>
        <v>0</v>
      </c>
    </row>
    <row r="5" spans="1:21" ht="42.75" customHeight="1">
      <c r="A5" s="6">
        <v>3</v>
      </c>
      <c r="B5" s="36" t="s">
        <v>25</v>
      </c>
      <c r="C5" s="37" t="s">
        <v>27</v>
      </c>
      <c r="D5" s="7">
        <f>DRN_aprēķins!E33</f>
        <v>2805000</v>
      </c>
      <c r="E5" s="7">
        <f>DRN_aprēķins!F33</f>
        <v>2805000</v>
      </c>
      <c r="F5" s="7">
        <f>DRN_aprēķins!G33</f>
        <v>0</v>
      </c>
      <c r="G5" s="8">
        <f>DRN_aprēķins!H34</f>
        <v>2805000</v>
      </c>
      <c r="H5" s="8">
        <f>DRN_aprēķins!H34</f>
        <v>2805000</v>
      </c>
      <c r="I5" s="8">
        <f>DRN_aprēķins!J34</f>
        <v>0</v>
      </c>
      <c r="J5" s="7">
        <f>DRN_aprēķins!E36</f>
        <v>2805000</v>
      </c>
      <c r="K5" s="7">
        <f>DRN_aprēķins!F36</f>
        <v>2805000</v>
      </c>
      <c r="L5" s="7">
        <f>DRN_aprēķins!G36</f>
        <v>0</v>
      </c>
      <c r="M5" s="8">
        <f>DRN_aprēķins!H37</f>
        <v>2524500</v>
      </c>
      <c r="N5" s="8">
        <f>DRN_aprēķins!H37</f>
        <v>2524500</v>
      </c>
      <c r="O5" s="8">
        <f>DRN_aprēķins!J34</f>
        <v>0</v>
      </c>
      <c r="P5" s="7">
        <f>DRN_aprēķins!E39</f>
        <v>2805000</v>
      </c>
      <c r="Q5" s="7">
        <f>DRN_aprēķins!F39</f>
        <v>2805000</v>
      </c>
      <c r="R5" s="7">
        <f>DRN_aprēķins!G39</f>
        <v>0</v>
      </c>
      <c r="S5" s="8">
        <f>DRN_aprēķins!H40</f>
        <v>2258025</v>
      </c>
      <c r="T5" s="8">
        <f>DRN_aprēķins!H40</f>
        <v>2258025</v>
      </c>
      <c r="U5" s="8">
        <f>DRN_aprēķins!J40</f>
        <v>0</v>
      </c>
    </row>
    <row r="6" spans="1:21" ht="30" customHeight="1">
      <c r="A6" s="3">
        <v>4</v>
      </c>
      <c r="B6" s="34" t="s">
        <v>33</v>
      </c>
      <c r="C6" s="9" t="s">
        <v>36</v>
      </c>
      <c r="D6" s="4">
        <f>DRN_aprēķins!E43</f>
        <v>12452500</v>
      </c>
      <c r="E6" s="4">
        <f>DRN_aprēķins!F43</f>
        <v>11207250</v>
      </c>
      <c r="F6" s="4">
        <f>DRN_aprēķins!G43</f>
        <v>1245250</v>
      </c>
      <c r="G6" s="27">
        <f>DRN_aprēķins!H44</f>
        <v>1816875</v>
      </c>
      <c r="H6" s="27">
        <f>DRN_aprēķins!I44</f>
        <v>1635187.5</v>
      </c>
      <c r="I6" s="27">
        <f>DRN_aprēķins!J44</f>
        <v>181687.5</v>
      </c>
      <c r="J6" s="4">
        <f>DRN_aprēķins!E45</f>
        <v>14161531.25</v>
      </c>
      <c r="K6" s="4">
        <f>DRN_aprēķins!F45</f>
        <v>12037301.5625</v>
      </c>
      <c r="L6" s="4">
        <f>DRN_aprēķins!G45</f>
        <v>2124229.6875</v>
      </c>
      <c r="M6" s="27">
        <f>DRN_aprēķins!H46</f>
        <v>2331656.25</v>
      </c>
      <c r="N6" s="27">
        <f>DRN_aprēķins!I46</f>
        <v>1981907.8125</v>
      </c>
      <c r="O6" s="27">
        <f>DRN_aprēķins!J46</f>
        <v>349748.4375</v>
      </c>
      <c r="P6" s="4">
        <f>DRN_aprēķins!E47</f>
        <v>14575375</v>
      </c>
      <c r="Q6" s="4">
        <f>DRN_aprēķins!F47</f>
        <v>12389068.75</v>
      </c>
      <c r="R6" s="4">
        <f>DRN_aprēķins!G47</f>
        <v>2186306.25</v>
      </c>
      <c r="S6" s="27">
        <f>DRN_aprēķins!H48</f>
        <v>2761650</v>
      </c>
      <c r="T6" s="27">
        <f>DRN_aprēķins!I48</f>
        <v>2347402.5</v>
      </c>
      <c r="U6" s="27">
        <f>DRN_aprēķins!J48</f>
        <v>414247.5</v>
      </c>
    </row>
    <row r="7" spans="1:21" ht="30" customHeight="1">
      <c r="A7" s="44">
        <v>5</v>
      </c>
      <c r="B7" s="34" t="s">
        <v>34</v>
      </c>
      <c r="C7" s="9" t="s">
        <v>37</v>
      </c>
      <c r="D7" s="43">
        <f>DRN_aprēķins!E51</f>
        <v>204767.5</v>
      </c>
      <c r="E7" s="43">
        <f>DRN_aprēķins!F51</f>
        <v>163814</v>
      </c>
      <c r="F7" s="43">
        <f>DRN_aprēķins!G51</f>
        <v>40953.5</v>
      </c>
      <c r="G7" s="27">
        <f>DRN_aprēķins!H52</f>
        <v>28035</v>
      </c>
      <c r="H7" s="27">
        <f>DRN_aprēķins!I52</f>
        <v>22428</v>
      </c>
      <c r="I7" s="27">
        <f>DRN_aprēķins!J52</f>
        <v>5607</v>
      </c>
      <c r="J7" s="43">
        <f>DRN_aprēķins!E53</f>
        <v>230509.465625</v>
      </c>
      <c r="K7" s="43">
        <f>DRN_aprēķins!F53</f>
        <v>184407.5725</v>
      </c>
      <c r="L7" s="43">
        <f>DRN_aprēķins!G53</f>
        <v>46101.893125</v>
      </c>
      <c r="M7" s="27">
        <f>DRN_aprēķins!H54</f>
        <v>35978.78437499999</v>
      </c>
      <c r="N7" s="27">
        <f>DRN_aprēķins!I54</f>
        <v>28783.027499999993</v>
      </c>
      <c r="O7" s="27">
        <f>DRN_aprēķins!J54</f>
        <v>7195.756874999998</v>
      </c>
      <c r="P7" s="43">
        <f>DRN_aprēķins!E55</f>
        <v>236700</v>
      </c>
      <c r="Q7" s="43">
        <f>DRN_aprēķins!F55</f>
        <v>189360</v>
      </c>
      <c r="R7" s="43">
        <f>DRN_aprēķins!G55</f>
        <v>47340</v>
      </c>
      <c r="S7" s="27">
        <f>DRN_aprēķins!H56</f>
        <v>42209.3125</v>
      </c>
      <c r="T7" s="27">
        <f>DRN_aprēķins!I56</f>
        <v>33767.450000000004</v>
      </c>
      <c r="U7" s="27">
        <f>DRN_aprēķins!J56</f>
        <v>8441.862500000001</v>
      </c>
    </row>
    <row r="8" spans="1:21" ht="30" customHeight="1">
      <c r="A8" s="44">
        <v>6</v>
      </c>
      <c r="B8" s="34" t="s">
        <v>35</v>
      </c>
      <c r="C8" s="9" t="s">
        <v>38</v>
      </c>
      <c r="D8" s="43">
        <f>DRN_aprēķins!E58</f>
        <v>950032.5</v>
      </c>
      <c r="E8" s="43">
        <f>DRN_aprēķins!F58</f>
        <v>570019.5</v>
      </c>
      <c r="F8" s="43">
        <f>DRN_aprēķins!G58</f>
        <v>380013</v>
      </c>
      <c r="G8" s="27">
        <f>DRN_aprēķins!H62</f>
        <v>247282.5</v>
      </c>
      <c r="H8" s="27">
        <f>DRN_aprēķins!I62</f>
        <v>148369.5</v>
      </c>
      <c r="I8" s="27">
        <f>DRN_aprēķins!J62</f>
        <v>98913</v>
      </c>
      <c r="J8" s="43">
        <f>DRN_aprēķins!E59</f>
        <v>1069031.25</v>
      </c>
      <c r="K8" s="43">
        <f>DRN_aprēķins!F59</f>
        <v>641418.75</v>
      </c>
      <c r="L8" s="43">
        <f>DRN_aprēķins!G59</f>
        <v>427612.5</v>
      </c>
      <c r="M8" s="27">
        <f>DRN_aprēķins!H63</f>
        <v>288546.8062499999</v>
      </c>
      <c r="N8" s="27">
        <f>DRN_aprēķins!I63</f>
        <v>173128.08374999993</v>
      </c>
      <c r="O8" s="27">
        <f>DRN_aprēķins!J63</f>
        <v>115418.72249999997</v>
      </c>
      <c r="P8" s="43">
        <f>DRN_aprēķins!E60</f>
        <v>1099575</v>
      </c>
      <c r="Q8" s="43">
        <f>DRN_aprēķins!F60</f>
        <v>659745</v>
      </c>
      <c r="R8" s="43">
        <f>DRN_aprēķins!G60</f>
        <v>439830</v>
      </c>
      <c r="S8" s="27">
        <f>DRN_aprēķins!H64</f>
        <v>245392.1527499999</v>
      </c>
      <c r="T8" s="27">
        <f>DRN_aprēķins!I64</f>
        <v>147235.29164999994</v>
      </c>
      <c r="U8" s="27">
        <f>DRN_aprēķins!J64</f>
        <v>98156.86109999997</v>
      </c>
    </row>
    <row r="9" spans="1:21" ht="30" customHeight="1">
      <c r="A9" s="44">
        <v>7</v>
      </c>
      <c r="B9" s="34" t="s">
        <v>73</v>
      </c>
      <c r="C9" s="9" t="s">
        <v>70</v>
      </c>
      <c r="D9" s="43">
        <f>DRN_aprēķins!E66</f>
        <v>0</v>
      </c>
      <c r="E9" s="43">
        <f>DRN_aprēķins!F66</f>
        <v>0</v>
      </c>
      <c r="F9" s="43">
        <f>DRN_aprēķins!G66</f>
        <v>0</v>
      </c>
      <c r="G9" s="27">
        <f>DRN_aprēķins!H70</f>
        <v>0</v>
      </c>
      <c r="H9" s="27">
        <f>DRN_aprēķins!I70</f>
        <v>0</v>
      </c>
      <c r="I9" s="27">
        <f>DRN_aprēķins!J70</f>
        <v>0</v>
      </c>
      <c r="J9" s="43">
        <f>DRN_aprēķins!E68</f>
        <v>0</v>
      </c>
      <c r="K9" s="43">
        <f>DRN_aprēķins!F67</f>
        <v>0</v>
      </c>
      <c r="L9" s="43">
        <f>DRN_aprēķins!G67</f>
        <v>0</v>
      </c>
      <c r="M9" s="27">
        <f>DRN_aprēķins!H71</f>
        <v>20430000</v>
      </c>
      <c r="N9" s="27">
        <f>DRN_aprēķins!I71</f>
        <v>20430000</v>
      </c>
      <c r="O9" s="27">
        <f>DRN_aprēķins!J71</f>
        <v>0</v>
      </c>
      <c r="P9" s="43">
        <f>DRN_aprēķins!E68</f>
        <v>0</v>
      </c>
      <c r="Q9" s="43">
        <f>DRN_aprēķins!F68</f>
        <v>0</v>
      </c>
      <c r="R9" s="43">
        <f>DRN_aprēķins!G68</f>
        <v>0</v>
      </c>
      <c r="S9" s="27">
        <f>DRN_aprēķins!H72</f>
        <v>19260000</v>
      </c>
      <c r="T9" s="27">
        <f>DRN_aprēķins!I72</f>
        <v>19260000</v>
      </c>
      <c r="U9" s="27">
        <f>DRN_aprēķins!J72</f>
        <v>0</v>
      </c>
    </row>
    <row r="10" spans="1:21" ht="30" customHeight="1">
      <c r="A10" s="44">
        <v>8</v>
      </c>
      <c r="B10" s="76" t="s">
        <v>53</v>
      </c>
      <c r="C10" s="77" t="s">
        <v>61</v>
      </c>
      <c r="D10" s="7">
        <f>DRN_aprēķins!E75</f>
        <v>20984</v>
      </c>
      <c r="E10" s="7">
        <f>DRN_aprēķins!F75</f>
        <v>12590.4</v>
      </c>
      <c r="F10" s="7">
        <f>DRN_aprēķins!G75</f>
        <v>8393.6</v>
      </c>
      <c r="G10" s="8">
        <f>DRN_aprēķins!H76</f>
        <v>9516</v>
      </c>
      <c r="H10" s="8">
        <f>DRN_aprēķins!I76</f>
        <v>5709.599999999999</v>
      </c>
      <c r="I10" s="8">
        <f>DRN_aprēķins!J76</f>
        <v>3806.4</v>
      </c>
      <c r="J10" s="7">
        <f>DRN_aprēķins!E77</f>
        <v>20984</v>
      </c>
      <c r="K10" s="7">
        <f>DRN_aprēķins!F77</f>
        <v>12590.4</v>
      </c>
      <c r="L10" s="7">
        <f>DRN_aprēķins!G77</f>
        <v>8393.6</v>
      </c>
      <c r="M10" s="8">
        <f>DRN_aprēķins!H78</f>
        <v>12688</v>
      </c>
      <c r="N10" s="8">
        <f>DRN_aprēķins!I78</f>
        <v>7612.799999999999</v>
      </c>
      <c r="O10" s="8">
        <f>DRN_aprēķins!J78</f>
        <v>5075.200000000001</v>
      </c>
      <c r="P10" s="7">
        <f>DRN_aprēķins!E79</f>
        <v>20984</v>
      </c>
      <c r="Q10" s="7">
        <f>DRN_aprēķins!F79</f>
        <v>12590.4</v>
      </c>
      <c r="R10" s="7">
        <f>DRN_aprēķins!G79</f>
        <v>8393.6</v>
      </c>
      <c r="S10" s="8">
        <f>DRN_aprēķins!H80</f>
        <v>12688</v>
      </c>
      <c r="T10" s="8">
        <f>DRN_aprēķins!I80</f>
        <v>7612.799999999999</v>
      </c>
      <c r="U10" s="8">
        <f>DRN_aprēķins!J80</f>
        <v>5075.200000000001</v>
      </c>
    </row>
    <row r="11" spans="1:21" ht="30" customHeight="1">
      <c r="A11" s="44">
        <v>9</v>
      </c>
      <c r="B11" s="36" t="s">
        <v>54</v>
      </c>
      <c r="C11" s="37" t="s">
        <v>62</v>
      </c>
      <c r="D11" s="7">
        <f>DRN_aprēķins!E83</f>
        <v>3115.0000000000005</v>
      </c>
      <c r="E11" s="7">
        <f>DRN_aprēķins!F83</f>
        <v>1869.0000000000002</v>
      </c>
      <c r="F11" s="7">
        <f>DRN_aprēķins!G83</f>
        <v>1246.0000000000002</v>
      </c>
      <c r="G11" s="8">
        <f>DRN_aprēķins!H84</f>
        <v>1334.9999999999995</v>
      </c>
      <c r="H11" s="8">
        <f>DRN_aprēķins!I84</f>
        <v>800.9999999999997</v>
      </c>
      <c r="I11" s="8">
        <f>DRN_aprēķins!J84</f>
        <v>533.9999999999999</v>
      </c>
      <c r="J11" s="7">
        <f>DRN_aprēķins!E85</f>
        <v>3115.0000000000005</v>
      </c>
      <c r="K11" s="7">
        <f>DRN_aprēķins!F85</f>
        <v>1869.0000000000002</v>
      </c>
      <c r="L11" s="7">
        <f>DRN_aprēķins!G85</f>
        <v>1246.0000000000002</v>
      </c>
      <c r="M11" s="8">
        <f>DRN_aprēķins!H86</f>
        <v>1779.9999999999995</v>
      </c>
      <c r="N11" s="8">
        <f>DRN_aprēķins!I86</f>
        <v>1067.9999999999998</v>
      </c>
      <c r="O11" s="8">
        <f>DRN_aprēķins!J86</f>
        <v>711.9999999999999</v>
      </c>
      <c r="P11" s="7">
        <f>DRN_aprēķins!E87</f>
        <v>3115.0000000000005</v>
      </c>
      <c r="Q11" s="7">
        <f>DRN_aprēķins!F87</f>
        <v>1869.0000000000002</v>
      </c>
      <c r="R11" s="7">
        <f>DRN_aprēķins!G87</f>
        <v>1246.0000000000002</v>
      </c>
      <c r="S11" s="8">
        <f>DRN_aprēķins!H88</f>
        <v>1779.9999999999995</v>
      </c>
      <c r="T11" s="8">
        <f>DRN_aprēķins!I88</f>
        <v>1067.9999999999998</v>
      </c>
      <c r="U11" s="8">
        <f>DRN_aprēķins!J88</f>
        <v>711.9999999999999</v>
      </c>
    </row>
    <row r="12" spans="1:21" ht="30" customHeight="1">
      <c r="A12" s="44">
        <v>10</v>
      </c>
      <c r="B12" s="36" t="s">
        <v>55</v>
      </c>
      <c r="C12" s="37" t="s">
        <v>63</v>
      </c>
      <c r="D12" s="7">
        <f>DRN_aprēķins!E91</f>
        <v>2412000</v>
      </c>
      <c r="E12" s="7">
        <f>DRN_aprēķins!F91</f>
        <v>1447200</v>
      </c>
      <c r="F12" s="7">
        <f>DRN_aprēķins!G91</f>
        <v>964800</v>
      </c>
      <c r="G12" s="8">
        <f>DRN_aprēķins!H92</f>
        <v>1105500</v>
      </c>
      <c r="H12" s="8">
        <f>DRN_aprēķins!I92</f>
        <v>663300</v>
      </c>
      <c r="I12" s="8">
        <f>DRN_aprēķins!J92</f>
        <v>442200</v>
      </c>
      <c r="J12" s="7">
        <f>DRN_aprēķins!E93</f>
        <v>2412000</v>
      </c>
      <c r="K12" s="7">
        <f>DRN_aprēķins!F93</f>
        <v>1447200</v>
      </c>
      <c r="L12" s="7">
        <f>DRN_aprēķins!G93</f>
        <v>964800</v>
      </c>
      <c r="M12" s="8">
        <f>DRN_aprēķins!H94</f>
        <v>1473999.9999999995</v>
      </c>
      <c r="N12" s="8">
        <f>DRN_aprēķins!I94</f>
        <v>884399.9999999997</v>
      </c>
      <c r="O12" s="8">
        <f>DRN_aprēķins!J94</f>
        <v>589599.9999999999</v>
      </c>
      <c r="P12" s="7">
        <f>DRN_aprēķins!E95</f>
        <v>2412000</v>
      </c>
      <c r="Q12" s="7">
        <f>DRN_aprēķins!F95</f>
        <v>1447200</v>
      </c>
      <c r="R12" s="7">
        <f>DRN_aprēķins!G95</f>
        <v>964800</v>
      </c>
      <c r="S12" s="8">
        <f>DRN_aprēķins!H96</f>
        <v>1473999.9999999995</v>
      </c>
      <c r="T12" s="8">
        <f>DRN_aprēķins!I96</f>
        <v>884399.9999999997</v>
      </c>
      <c r="U12" s="8">
        <f>DRN_aprēķins!J96</f>
        <v>589599.9999999999</v>
      </c>
    </row>
    <row r="13" spans="1:21" ht="30" customHeight="1">
      <c r="A13" s="44">
        <v>11</v>
      </c>
      <c r="B13" s="36" t="s">
        <v>56</v>
      </c>
      <c r="C13" s="37" t="s">
        <v>64</v>
      </c>
      <c r="D13" s="7">
        <f>DRN_aprēķins!E99</f>
        <v>60553.5</v>
      </c>
      <c r="E13" s="7">
        <f>DRN_aprēķins!F99</f>
        <v>36332.1</v>
      </c>
      <c r="F13" s="7">
        <f>DRN_aprēķins!G99</f>
        <v>24221.4</v>
      </c>
      <c r="G13" s="8">
        <f>DRN_aprēķins!H100</f>
        <v>28114.125</v>
      </c>
      <c r="H13" s="8">
        <f>DRN_aprēķins!I100</f>
        <v>16868.475</v>
      </c>
      <c r="I13" s="8">
        <f>DRN_aprēķins!J100</f>
        <v>11245.650000000001</v>
      </c>
      <c r="J13" s="7">
        <f>DRN_aprēķins!E101</f>
        <v>60553.5</v>
      </c>
      <c r="K13" s="7">
        <f>DRN_aprēķins!F101</f>
        <v>36332.1</v>
      </c>
      <c r="L13" s="7">
        <f>DRN_aprēķins!G101</f>
        <v>24221.4</v>
      </c>
      <c r="M13" s="8">
        <f>DRN_aprēķins!H102</f>
        <v>37485.5</v>
      </c>
      <c r="N13" s="8">
        <f>DRN_aprēķins!I102</f>
        <v>22491.3</v>
      </c>
      <c r="O13" s="8">
        <f>DRN_aprēķins!J102</f>
        <v>14994.2</v>
      </c>
      <c r="P13" s="7">
        <f>DRN_aprēķins!E103</f>
        <v>60553.5</v>
      </c>
      <c r="Q13" s="7">
        <f>DRN_aprēķins!F103</f>
        <v>36332.1</v>
      </c>
      <c r="R13" s="7">
        <f>DRN_aprēķins!G103</f>
        <v>24221.4</v>
      </c>
      <c r="S13" s="8">
        <f>DRN_aprēķins!H104</f>
        <v>37485.5</v>
      </c>
      <c r="T13" s="8">
        <f>DRN_aprēķins!I104</f>
        <v>22491.3</v>
      </c>
      <c r="U13" s="8">
        <f>DRN_aprēķins!J104</f>
        <v>14994.2</v>
      </c>
    </row>
    <row r="14" spans="1:21" ht="30" customHeight="1">
      <c r="A14" s="44">
        <v>12</v>
      </c>
      <c r="B14" s="36" t="s">
        <v>57</v>
      </c>
      <c r="C14" s="37" t="s">
        <v>65</v>
      </c>
      <c r="D14" s="7">
        <f>DRN_aprēķins!E107</f>
        <v>8190</v>
      </c>
      <c r="E14" s="7">
        <f>DRN_aprēķins!F107</f>
        <v>4914</v>
      </c>
      <c r="F14" s="7">
        <f>DRN_aprēķins!G107</f>
        <v>3276</v>
      </c>
      <c r="G14" s="8">
        <f>DRN_aprēķins!H108</f>
        <v>3003</v>
      </c>
      <c r="H14" s="8">
        <f>DRN_aprēķins!I108</f>
        <v>1801.8</v>
      </c>
      <c r="I14" s="8">
        <f>DRN_aprēķins!J108</f>
        <v>1201.2</v>
      </c>
      <c r="J14" s="7">
        <f>DRN_aprēķins!E109</f>
        <v>8190</v>
      </c>
      <c r="K14" s="7">
        <f>DRN_aprēķins!F109</f>
        <v>4914</v>
      </c>
      <c r="L14" s="7">
        <f>DRN_aprēķins!G109</f>
        <v>3276</v>
      </c>
      <c r="M14" s="8">
        <f>DRN_aprēķins!H110</f>
        <v>4004</v>
      </c>
      <c r="N14" s="8">
        <f>DRN_aprēķins!I110</f>
        <v>2402.4</v>
      </c>
      <c r="O14" s="8">
        <f>DRN_aprēķins!J110</f>
        <v>1601.6000000000001</v>
      </c>
      <c r="P14" s="7">
        <f>DRN_aprēķins!E111</f>
        <v>8190</v>
      </c>
      <c r="Q14" s="7">
        <f>DRN_aprēķins!F111</f>
        <v>4914</v>
      </c>
      <c r="R14" s="7">
        <f>DRN_aprēķins!G111</f>
        <v>3276</v>
      </c>
      <c r="S14" s="8">
        <f>DRN_aprēķins!H112</f>
        <v>4004</v>
      </c>
      <c r="T14" s="8">
        <f>DRN_aprēķins!I112</f>
        <v>2402.4</v>
      </c>
      <c r="U14" s="8">
        <f>DRN_aprēķins!J112</f>
        <v>1601.6000000000001</v>
      </c>
    </row>
    <row r="15" spans="1:21" ht="60.75" customHeight="1">
      <c r="A15" s="44">
        <v>13</v>
      </c>
      <c r="B15" s="36" t="s">
        <v>59</v>
      </c>
      <c r="C15" s="37" t="s">
        <v>52</v>
      </c>
      <c r="D15" s="7">
        <f>DRN_aprēķins!E115</f>
        <v>0</v>
      </c>
      <c r="E15" s="7">
        <f>DRN_aprēķins!F115</f>
        <v>0</v>
      </c>
      <c r="F15" s="7">
        <f>DRN_aprēķins!G115</f>
        <v>0</v>
      </c>
      <c r="G15" s="8">
        <f>DRN_aprēķins!H116</f>
        <v>0</v>
      </c>
      <c r="H15" s="8">
        <f>DRN_aprēķins!I116</f>
        <v>0</v>
      </c>
      <c r="I15" s="8">
        <f>DRN_aprēķins!J118</f>
        <v>0</v>
      </c>
      <c r="J15" s="7">
        <f>DRN_aprēķins!E117</f>
        <v>0</v>
      </c>
      <c r="K15" s="7">
        <f>DRN_aprēķins!F117</f>
        <v>0</v>
      </c>
      <c r="L15" s="7">
        <f>DRN_aprēķins!G117</f>
        <v>0</v>
      </c>
      <c r="M15" s="8">
        <f>DRN_aprēķins!H118</f>
        <v>178125</v>
      </c>
      <c r="N15" s="8">
        <f>DRN_aprēķins!I118</f>
        <v>178125</v>
      </c>
      <c r="O15" s="8">
        <f>DRN_aprēķins!J118</f>
        <v>0</v>
      </c>
      <c r="P15" s="7">
        <f>DRN_aprēķins!E119</f>
        <v>0</v>
      </c>
      <c r="Q15" s="7">
        <f>DRN_aprēķins!F119</f>
        <v>0</v>
      </c>
      <c r="R15" s="7">
        <f>DRN_aprēķins!G119</f>
        <v>0</v>
      </c>
      <c r="S15" s="8">
        <f>DRN_aprēķins!H120</f>
        <v>676875</v>
      </c>
      <c r="T15" s="8">
        <f>DRN_aprēķins!I120</f>
        <v>676875</v>
      </c>
      <c r="U15" s="8">
        <f>DRN_aprēķins!J120</f>
        <v>0</v>
      </c>
    </row>
    <row r="16" spans="1:21" ht="29.25" customHeight="1">
      <c r="A16" s="79"/>
      <c r="B16" s="78" t="s">
        <v>18</v>
      </c>
      <c r="C16" s="79"/>
      <c r="D16" s="80">
        <f>SUM(D3:D15)</f>
        <v>18917142.5</v>
      </c>
      <c r="E16" s="80">
        <f aca="true" t="shared" si="0" ref="E16:U16">SUM(E3:E15)</f>
        <v>16248989</v>
      </c>
      <c r="F16" s="80">
        <f t="shared" si="0"/>
        <v>2668153.5</v>
      </c>
      <c r="G16" s="81">
        <f t="shared" si="0"/>
        <v>6044660.625</v>
      </c>
      <c r="H16" s="81">
        <f>SUM(H3:H15)</f>
        <v>5299465.874999999</v>
      </c>
      <c r="I16" s="81">
        <f t="shared" si="0"/>
        <v>745194.75</v>
      </c>
      <c r="J16" s="80">
        <f t="shared" si="0"/>
        <v>20770914.465625</v>
      </c>
      <c r="K16" s="80">
        <f t="shared" si="0"/>
        <v>17171033.385</v>
      </c>
      <c r="L16" s="80">
        <f t="shared" si="0"/>
        <v>3599881.080625</v>
      </c>
      <c r="M16" s="81">
        <f t="shared" si="0"/>
        <v>27318764.340625</v>
      </c>
      <c r="N16" s="81">
        <f t="shared" si="0"/>
        <v>26234418.42375</v>
      </c>
      <c r="O16" s="81">
        <f t="shared" si="0"/>
        <v>1084345.9168749999</v>
      </c>
      <c r="P16" s="80">
        <f t="shared" si="0"/>
        <v>21221492.5</v>
      </c>
      <c r="Q16" s="80">
        <f t="shared" si="0"/>
        <v>17546079.25</v>
      </c>
      <c r="R16" s="80">
        <f t="shared" si="0"/>
        <v>3675413.25</v>
      </c>
      <c r="S16" s="81">
        <f t="shared" si="0"/>
        <v>26861971.46525</v>
      </c>
      <c r="T16" s="81">
        <f t="shared" si="0"/>
        <v>25729142.24165</v>
      </c>
      <c r="U16" s="81">
        <f t="shared" si="0"/>
        <v>1132829.2236</v>
      </c>
    </row>
    <row r="17" ht="29.25" customHeight="1">
      <c r="A17" s="32"/>
    </row>
    <row r="18" ht="77.25" customHeight="1"/>
  </sheetData>
  <sheetProtection/>
  <mergeCells count="6">
    <mergeCell ref="D1:I1"/>
    <mergeCell ref="J1:O1"/>
    <mergeCell ref="P1:U1"/>
    <mergeCell ref="B1:B2"/>
    <mergeCell ref="A1:A2"/>
    <mergeCell ref="C1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"Grozījumi Dabas resursu nodokļa likumā"</dc:title>
  <dc:subject>Anotācijas 1. pielikums</dc:subject>
  <dc:creator>Kristīne Gāga</dc:creator>
  <cp:keywords/>
  <dc:description>kristine.gaga@varam.gov.lv, 67026518</dc:description>
  <cp:lastModifiedBy>Lita Trakina</cp:lastModifiedBy>
  <cp:lastPrinted>2020-08-18T15:56:16Z</cp:lastPrinted>
  <dcterms:created xsi:type="dcterms:W3CDTF">2016-08-19T07:31:39Z</dcterms:created>
  <dcterms:modified xsi:type="dcterms:W3CDTF">2021-09-14T13:24:29Z</dcterms:modified>
  <cp:category/>
  <cp:version/>
  <cp:contentType/>
  <cp:contentStatus/>
</cp:coreProperties>
</file>