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DRN_aprēķins" sheetId="1" r:id="rId1"/>
    <sheet name="Kopsavilkums" sheetId="2" r:id="rId2"/>
  </sheets>
  <definedNames>
    <definedName name="_xlnm.Print_Titles" localSheetId="0">'DRN_aprēķins'!$5:$7</definedName>
  </definedNames>
  <calcPr fullCalcOnLoad="1"/>
</workbook>
</file>

<file path=xl/sharedStrings.xml><?xml version="1.0" encoding="utf-8"?>
<sst xmlns="http://schemas.openxmlformats.org/spreadsheetml/2006/main" count="110" uniqueCount="59">
  <si>
    <t>DRN ieņēmumi, euro</t>
  </si>
  <si>
    <t>Palielinājums pret bāzi, euro</t>
  </si>
  <si>
    <t>Palielinājums valsts pamatbudžetā, euro</t>
  </si>
  <si>
    <t>Palielinājums pašvaldības budžetā, euro</t>
  </si>
  <si>
    <t>3=1x2</t>
  </si>
  <si>
    <t>Bāze 2022</t>
  </si>
  <si>
    <t>Kopsavilkums</t>
  </si>
  <si>
    <t>valsts</t>
  </si>
  <si>
    <t>pašvaldības</t>
  </si>
  <si>
    <t>Prognozētais bāzes pieaugums</t>
  </si>
  <si>
    <t>Bāze 2023</t>
  </si>
  <si>
    <t xml:space="preserve">Valsts un pašvaldību budžeta DRN sadalījums </t>
  </si>
  <si>
    <t xml:space="preserve">DRN objekts </t>
  </si>
  <si>
    <t>VB</t>
  </si>
  <si>
    <t>PB</t>
  </si>
  <si>
    <t>Bāze, euro</t>
  </si>
  <si>
    <t>Ieņēmumi</t>
  </si>
  <si>
    <t>DRN likme</t>
  </si>
  <si>
    <t>KOPĀ</t>
  </si>
  <si>
    <t>Daudzums</t>
  </si>
  <si>
    <t>Likme</t>
  </si>
  <si>
    <t>Palielinājums</t>
  </si>
  <si>
    <t>VB - valsts budžets</t>
  </si>
  <si>
    <t>PB - pašvaldību budžets</t>
  </si>
  <si>
    <t>Bāze 2024</t>
  </si>
  <si>
    <t>Transportlīdzekļi</t>
  </si>
  <si>
    <t>Nepārstrādājamais plastmasas iepakojums</t>
  </si>
  <si>
    <t>jauns (21,3 euro/t)</t>
  </si>
  <si>
    <t>no 50 uz 110 euro/t</t>
  </si>
  <si>
    <t>1,22 euro/kg</t>
  </si>
  <si>
    <t>2. Ogļūdeņražu ieguve (jauns)</t>
  </si>
  <si>
    <t>Ogļūdeņražu ieguve</t>
  </si>
  <si>
    <t>jauns (12% no vērtības)</t>
  </si>
  <si>
    <t>3. Transportlīdzekļi (nodokļa palielinājums)</t>
  </si>
  <si>
    <t>4. Nepārstrādājamais plastmasas iepakojums (atcelts atbrīvojums)</t>
  </si>
  <si>
    <t>Nodokli par transportlīdzekli nodokļu maksātājs maksā pirms transportlīdzekļa pirmās pastāvīgās reģistrācijas Latvijā, tāpēc nav paredzama ceturkšņa ietekme</t>
  </si>
  <si>
    <t>Daudzums, t; kg, vienības</t>
  </si>
  <si>
    <r>
      <t>DRN likme, euro/t (m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), %</t>
    </r>
  </si>
  <si>
    <t>Nodokli maksā no naftas vērtības dolāros. Pārkonvertēts no USD uz euro, izmantojot Eiropas Centrālās bankas publicētos eiro atsauces kursus</t>
  </si>
  <si>
    <t xml:space="preserve">Ievērojot, ka kūdras izmantošana jāpārtrauc līdz 2026. gadam, pieņemts, ka patēriņš katru gadu samazināsies par 30% </t>
  </si>
  <si>
    <t>Nodoklis piesaistīts naftas tirgum</t>
  </si>
  <si>
    <t>5. Sadzīves atkritumu apglabāšana (nodokļa palielinājums)</t>
  </si>
  <si>
    <t>6. Bīstamo atkritumu apglabāšana (nodokļa palielinājums)</t>
  </si>
  <si>
    <t>Paredzama 9 mēnešu ietekme, ogļūdeņražiem - 3 mēnešu ietekme</t>
  </si>
  <si>
    <t>Sadzīves atkritumu apglabāšana</t>
  </si>
  <si>
    <t>Bīstamo atkritumu apglabāšana</t>
  </si>
  <si>
    <t>PM emisijas</t>
  </si>
  <si>
    <t>no 80 uz 95, 110, 120 euro/t</t>
  </si>
  <si>
    <t>no 85 uz 100, 115, 125 euro/t</t>
  </si>
  <si>
    <t>no PM10 uz PM</t>
  </si>
  <si>
    <r>
      <t>7. No PM</t>
    </r>
    <r>
      <rPr>
        <b/>
        <vertAlign val="subscript"/>
        <sz val="11"/>
        <color indexed="8"/>
        <rFont val="Calibri"/>
        <family val="2"/>
      </rPr>
      <t>10</t>
    </r>
    <r>
      <rPr>
        <b/>
        <sz val="11"/>
        <color indexed="8"/>
        <rFont val="Calibri"/>
        <family val="2"/>
      </rPr>
      <t xml:space="preserve"> uz PM (nodokļa objekta izmaiņas)</t>
    </r>
  </si>
  <si>
    <t>Nepārstrādātais iepakojums</t>
  </si>
  <si>
    <t>0,80 euro/kg</t>
  </si>
  <si>
    <t>8. Plastmasas un kompozīta iepakojums, kas nav pārstrādāts ziņošanas periodā (jauns)</t>
  </si>
  <si>
    <t>Par 2022. gadā nepārstrādāto iepakojumu tiks veikts nodokļa maksājums 2023. gadā</t>
  </si>
  <si>
    <r>
      <t>1. Kūdra kā kurināmais</t>
    </r>
    <r>
      <rPr>
        <b/>
        <sz val="11"/>
        <color indexed="8"/>
        <rFont val="Calibri"/>
        <family val="2"/>
      </rPr>
      <t xml:space="preserve"> (jauns)</t>
    </r>
  </si>
  <si>
    <r>
      <t>Kūdra kā kurināmais (jauns)</t>
    </r>
    <r>
      <rPr>
        <b/>
        <sz val="11"/>
        <color indexed="8"/>
        <rFont val="Calibri"/>
        <family val="2"/>
      </rPr>
      <t xml:space="preserve"> </t>
    </r>
  </si>
  <si>
    <t xml:space="preserve">Likumprojekta "Grozījumi Dabas resursu nodokļa likumā" sākotnējās ietekmes novērtējuma ziņojuma (anotācijas)  pielikums </t>
  </si>
  <si>
    <t>Paredzēts, ka, nosakot DRN PM, vidēji par 30% pieaugs emisiju apjoms, par ko jāmaksā DRN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</si>
</sst>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0.0%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"/>
    <numFmt numFmtId="187" formatCode="_-* #,##0.0\ _€_-;\-* #,##0.0\ _€_-;_-* &quot;-&quot;??\ _€_-;_-@_-"/>
    <numFmt numFmtId="188" formatCode="_-* #,##0.0\ _€_-;\-* #,##0.0\ _€_-;_-* &quot;-&quot;?\ _€_-;_-@_-"/>
    <numFmt numFmtId="189" formatCode="_-* #,##0\ _€_-;\-* #,##0\ _€_-;_-* &quot;-&quot;??\ _€_-;_-@_-"/>
    <numFmt numFmtId="190" formatCode="[$-426]dddd\,\ yyyy\.\ &quot;gada&quot;\ d\.\ mmmm"/>
    <numFmt numFmtId="191" formatCode="#,##0.00000"/>
    <numFmt numFmtId="192" formatCode="#,##0.000000"/>
    <numFmt numFmtId="193" formatCode="#,##0.0000000"/>
    <numFmt numFmtId="194" formatCode="#,##0.00000000"/>
    <numFmt numFmtId="195" formatCode="#,##0.0000"/>
    <numFmt numFmtId="196" formatCode="#,##0.000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wrapText="1" indent="1" shrinkToFit="1"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46" fillId="33" borderId="10" xfId="0" applyNumberFormat="1" applyFont="1" applyFill="1" applyBorder="1" applyAlignment="1">
      <alignment/>
    </xf>
    <xf numFmtId="3" fontId="46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47" fillId="33" borderId="10" xfId="0" applyNumberFormat="1" applyFont="1" applyFill="1" applyBorder="1" applyAlignment="1">
      <alignment/>
    </xf>
    <xf numFmtId="3" fontId="46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46" fillId="8" borderId="11" xfId="0" applyFont="1" applyFill="1" applyBorder="1" applyAlignment="1">
      <alignment horizontal="center" wrapText="1"/>
    </xf>
    <xf numFmtId="1" fontId="0" fillId="35" borderId="10" xfId="0" applyNumberFormat="1" applyFon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6" fillId="33" borderId="12" xfId="0" applyFont="1" applyFill="1" applyBorder="1" applyAlignment="1">
      <alignment horizontal="center" wrapText="1"/>
    </xf>
    <xf numFmtId="3" fontId="24" fillId="33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3" fontId="46" fillId="34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6" fillId="34" borderId="10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47" fillId="0" borderId="0" xfId="0" applyFont="1" applyAlignment="1">
      <alignment/>
    </xf>
    <xf numFmtId="2" fontId="4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8" fillId="0" borderId="0" xfId="0" applyFont="1" applyAlignment="1">
      <alignment horizontal="right"/>
    </xf>
    <xf numFmtId="3" fontId="50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vertical="top" wrapText="1"/>
    </xf>
    <xf numFmtId="3" fontId="46" fillId="36" borderId="1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24" fillId="0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 quotePrefix="1">
      <alignment horizontal="right"/>
    </xf>
    <xf numFmtId="4" fontId="46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 quotePrefix="1">
      <alignment horizontal="right"/>
    </xf>
    <xf numFmtId="0" fontId="2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3" fontId="0" fillId="37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 quotePrefix="1">
      <alignment horizontal="right"/>
    </xf>
    <xf numFmtId="0" fontId="26" fillId="15" borderId="10" xfId="0" applyFont="1" applyFill="1" applyBorder="1" applyAlignment="1">
      <alignment/>
    </xf>
    <xf numFmtId="0" fontId="0" fillId="15" borderId="0" xfId="0" applyFill="1" applyAlignment="1">
      <alignment/>
    </xf>
    <xf numFmtId="3" fontId="26" fillId="0" borderId="10" xfId="0" applyNumberFormat="1" applyFont="1" applyFill="1" applyBorder="1" applyAlignment="1" quotePrefix="1">
      <alignment horizontal="right"/>
    </xf>
    <xf numFmtId="3" fontId="26" fillId="7" borderId="10" xfId="0" applyNumberFormat="1" applyFont="1" applyFill="1" applyBorder="1" applyAlignment="1">
      <alignment/>
    </xf>
    <xf numFmtId="0" fontId="0" fillId="7" borderId="0" xfId="0" applyFill="1" applyAlignment="1">
      <alignment/>
    </xf>
    <xf numFmtId="186" fontId="46" fillId="0" borderId="10" xfId="0" applyNumberFormat="1" applyFont="1" applyBorder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" fontId="46" fillId="0" borderId="10" xfId="0" applyNumberFormat="1" applyFont="1" applyBorder="1" applyAlignment="1">
      <alignment/>
    </xf>
    <xf numFmtId="178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3" fontId="26" fillId="38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2" fontId="46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26" fillId="34" borderId="10" xfId="0" applyNumberFormat="1" applyFont="1" applyFill="1" applyBorder="1" applyAlignment="1" quotePrefix="1">
      <alignment horizontal="right"/>
    </xf>
    <xf numFmtId="4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 quotePrefix="1">
      <alignment horizontal="right"/>
    </xf>
    <xf numFmtId="3" fontId="24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4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 quotePrefix="1">
      <alignment horizontal="right"/>
    </xf>
    <xf numFmtId="0" fontId="46" fillId="36" borderId="10" xfId="0" applyFont="1" applyFill="1" applyBorder="1" applyAlignment="1">
      <alignment/>
    </xf>
    <xf numFmtId="3" fontId="0" fillId="11" borderId="10" xfId="0" applyNumberFormat="1" applyFill="1" applyBorder="1" applyAlignment="1">
      <alignment/>
    </xf>
    <xf numFmtId="3" fontId="26" fillId="16" borderId="10" xfId="0" applyNumberFormat="1" applyFont="1" applyFill="1" applyBorder="1" applyAlignment="1">
      <alignment/>
    </xf>
    <xf numFmtId="0" fontId="0" fillId="16" borderId="10" xfId="0" applyFont="1" applyFill="1" applyBorder="1" applyAlignment="1">
      <alignment/>
    </xf>
    <xf numFmtId="3" fontId="0" fillId="16" borderId="10" xfId="0" applyNumberFormat="1" applyFont="1" applyFill="1" applyBorder="1" applyAlignment="1">
      <alignment/>
    </xf>
    <xf numFmtId="1" fontId="0" fillId="16" borderId="10" xfId="0" applyNumberFormat="1" applyFont="1" applyFill="1" applyBorder="1" applyAlignment="1">
      <alignment/>
    </xf>
    <xf numFmtId="3" fontId="0" fillId="16" borderId="10" xfId="0" applyNumberFormat="1" applyFill="1" applyBorder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0" borderId="0" xfId="0" applyAlignment="1">
      <alignment horizontal="center" wrapText="1"/>
    </xf>
    <xf numFmtId="0" fontId="46" fillId="39" borderId="10" xfId="0" applyFont="1" applyFill="1" applyBorder="1" applyAlignment="1">
      <alignment horizontal="center"/>
    </xf>
    <xf numFmtId="0" fontId="46" fillId="39" borderId="10" xfId="0" applyFont="1" applyFill="1" applyBorder="1" applyAlignment="1">
      <alignment horizontal="center" wrapText="1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33" borderId="16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6" fillId="39" borderId="18" xfId="0" applyFont="1" applyFill="1" applyBorder="1" applyAlignment="1">
      <alignment horizontal="center"/>
    </xf>
    <xf numFmtId="0" fontId="46" fillId="39" borderId="19" xfId="0" applyFont="1" applyFill="1" applyBorder="1" applyAlignment="1">
      <alignment horizontal="center"/>
    </xf>
    <xf numFmtId="0" fontId="46" fillId="39" borderId="20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 wrapText="1"/>
    </xf>
    <xf numFmtId="0" fontId="46" fillId="33" borderId="22" xfId="0" applyFont="1" applyFill="1" applyBorder="1" applyAlignment="1">
      <alignment horizontal="center" wrapText="1"/>
    </xf>
    <xf numFmtId="0" fontId="46" fillId="33" borderId="23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49" fillId="10" borderId="10" xfId="0" applyFont="1" applyFill="1" applyBorder="1" applyAlignment="1">
      <alignment horizontal="center"/>
    </xf>
    <xf numFmtId="0" fontId="49" fillId="0" borderId="24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HLevel1" xfId="60"/>
    <cellStyle name="SAPBEXHLevel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tabSelected="1" zoomScalePageLayoutView="90" workbookViewId="0" topLeftCell="A1">
      <pane ySplit="3" topLeftCell="A37" activePane="bottomLeft" state="frozen"/>
      <selection pane="topLeft" activeCell="A1" sqref="A1"/>
      <selection pane="bottomLeft" activeCell="L42" sqref="L42"/>
    </sheetView>
  </sheetViews>
  <sheetFormatPr defaultColWidth="9.140625" defaultRowHeight="15"/>
  <cols>
    <col min="1" max="1" width="17.7109375" style="0" customWidth="1"/>
    <col min="2" max="2" width="12.140625" style="0" customWidth="1"/>
    <col min="3" max="3" width="12.00390625" style="0" customWidth="1"/>
    <col min="4" max="4" width="7.8515625" style="0" customWidth="1"/>
    <col min="5" max="5" width="11.00390625" style="0" customWidth="1"/>
    <col min="6" max="7" width="13.57421875" style="0" customWidth="1"/>
    <col min="8" max="8" width="14.28125" style="0" customWidth="1"/>
    <col min="9" max="9" width="14.57421875" style="0" customWidth="1"/>
    <col min="10" max="10" width="16.28125" style="0" customWidth="1"/>
    <col min="11" max="11" width="9.7109375" style="0" bestFit="1" customWidth="1"/>
    <col min="12" max="12" width="18.140625" style="0" customWidth="1"/>
  </cols>
  <sheetData>
    <row r="1" spans="11:12" ht="77.25" customHeight="1">
      <c r="K1" s="108" t="s">
        <v>57</v>
      </c>
      <c r="L1" s="108"/>
    </row>
    <row r="3" spans="3:10" ht="15.75" thickBot="1">
      <c r="C3" s="40" t="s">
        <v>19</v>
      </c>
      <c r="D3" s="40" t="s">
        <v>20</v>
      </c>
      <c r="E3" s="40" t="s">
        <v>16</v>
      </c>
      <c r="F3" s="40" t="s">
        <v>13</v>
      </c>
      <c r="G3" s="40" t="s">
        <v>14</v>
      </c>
      <c r="H3" s="40" t="s">
        <v>21</v>
      </c>
      <c r="I3" s="40" t="s">
        <v>13</v>
      </c>
      <c r="J3" s="40" t="s">
        <v>14</v>
      </c>
    </row>
    <row r="4" spans="1:10" ht="15.75" thickBot="1">
      <c r="A4" s="111" t="s">
        <v>6</v>
      </c>
      <c r="B4" s="112"/>
      <c r="C4" s="112"/>
      <c r="D4" s="112"/>
      <c r="E4" s="112"/>
      <c r="F4" s="112"/>
      <c r="G4" s="112"/>
      <c r="H4" s="112"/>
      <c r="I4" s="112"/>
      <c r="J4" s="113"/>
    </row>
    <row r="5" spans="1:10" ht="31.5" customHeight="1">
      <c r="A5" s="114"/>
      <c r="B5" s="116" t="s">
        <v>9</v>
      </c>
      <c r="C5" s="114" t="s">
        <v>36</v>
      </c>
      <c r="D5" s="114" t="s">
        <v>37</v>
      </c>
      <c r="E5" s="114" t="s">
        <v>0</v>
      </c>
      <c r="F5" s="38"/>
      <c r="G5" s="38"/>
      <c r="H5" s="120" t="s">
        <v>1</v>
      </c>
      <c r="I5" s="121"/>
      <c r="J5" s="122"/>
    </row>
    <row r="6" spans="1:10" s="1" customFormat="1" ht="42.75" customHeight="1">
      <c r="A6" s="115"/>
      <c r="B6" s="115"/>
      <c r="C6" s="115"/>
      <c r="D6" s="115"/>
      <c r="E6" s="115"/>
      <c r="F6" s="31" t="s">
        <v>7</v>
      </c>
      <c r="G6" s="31" t="s">
        <v>8</v>
      </c>
      <c r="H6" s="18" t="s">
        <v>1</v>
      </c>
      <c r="I6" s="18" t="s">
        <v>2</v>
      </c>
      <c r="J6" s="18" t="s">
        <v>3</v>
      </c>
    </row>
    <row r="7" spans="1:10" ht="15" customHeight="1">
      <c r="A7" s="19"/>
      <c r="B7" s="19"/>
      <c r="C7" s="20">
        <v>1</v>
      </c>
      <c r="D7" s="20">
        <v>2</v>
      </c>
      <c r="E7" s="20" t="s">
        <v>4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</row>
    <row r="8" spans="1:10" ht="15">
      <c r="A8" s="21" t="s">
        <v>5</v>
      </c>
      <c r="B8" s="21"/>
      <c r="C8" s="22"/>
      <c r="D8" s="28"/>
      <c r="E8" s="28">
        <f>E16+E33+E43+E24+E51+E59+E66+E74</f>
        <v>16412300</v>
      </c>
      <c r="F8" s="34">
        <f>F16+F33+F43+F24+F51+F59+F66+F74</f>
        <v>14746083.5</v>
      </c>
      <c r="G8" s="34">
        <f>G16+G33+G43+G24+G51+G59+G66+G74</f>
        <v>1666216.5</v>
      </c>
      <c r="H8" s="27"/>
      <c r="I8" s="25"/>
      <c r="J8" s="26"/>
    </row>
    <row r="9" spans="1:10" ht="15">
      <c r="A9" s="21" t="s">
        <v>10</v>
      </c>
      <c r="B9" s="82"/>
      <c r="C9" s="22"/>
      <c r="D9" s="28"/>
      <c r="E9" s="28">
        <f>E17+E36+E45+E25+E53+E61+E67+E75</f>
        <v>18266071.965625</v>
      </c>
      <c r="F9" s="34">
        <f>F17+F36+F45+F25+F53+F61+F67+F75</f>
        <v>15668127.885</v>
      </c>
      <c r="G9" s="34">
        <f>G17+G36+G45+G25+G53+G61+G67+G75</f>
        <v>2597944.080625</v>
      </c>
      <c r="H9" s="27"/>
      <c r="I9" s="25"/>
      <c r="J9" s="26"/>
    </row>
    <row r="10" spans="1:10" ht="15">
      <c r="A10" s="21" t="s">
        <v>24</v>
      </c>
      <c r="B10" s="83"/>
      <c r="C10" s="22"/>
      <c r="D10" s="28"/>
      <c r="E10" s="28">
        <f>E18+E39+E47+E26+E55+E63+E68+E76</f>
        <v>18716650</v>
      </c>
      <c r="F10" s="34">
        <f>F18+F39+F47+F26+F55+F63+F68+F76</f>
        <v>16043173.75</v>
      </c>
      <c r="G10" s="34">
        <f>G18+G39+G47+G26+G55+G63+G68+G76</f>
        <v>2673476.25</v>
      </c>
      <c r="H10" s="27"/>
      <c r="I10" s="25"/>
      <c r="J10" s="26"/>
    </row>
    <row r="11" spans="1:10" ht="15">
      <c r="A11" s="21"/>
      <c r="B11" s="21"/>
      <c r="C11" s="22"/>
      <c r="D11" s="28"/>
      <c r="E11" s="28"/>
      <c r="F11" s="28"/>
      <c r="G11" s="28"/>
      <c r="H11" s="27"/>
      <c r="I11" s="25"/>
      <c r="J11" s="26"/>
    </row>
    <row r="12" spans="1:11" ht="15">
      <c r="A12" s="19">
        <v>2022</v>
      </c>
      <c r="B12" s="19"/>
      <c r="C12" s="39"/>
      <c r="D12" s="23"/>
      <c r="E12" s="23">
        <f>E20+E34+E44+E28+E52+E60+E70+E78</f>
        <v>22022057.17075059</v>
      </c>
      <c r="F12" s="23">
        <f>F20+F34+F44+F28+F52+F60+F70+F78</f>
        <v>20060727.30245035</v>
      </c>
      <c r="G12" s="23">
        <f>G20+G34+G44+G28+G52+G60+G70+G78</f>
        <v>1961329.8683002356</v>
      </c>
      <c r="H12" s="23">
        <f>H20+H34+H44+H28+H52+H60+H70+H78</f>
        <v>5609757.170750589</v>
      </c>
      <c r="I12" s="71">
        <f>I20+I28+I34+I44+I52+I60+I70+I78</f>
        <v>5314643.802450353</v>
      </c>
      <c r="J12" s="71">
        <f>J28+J20+J34+J44+J52+J60+J70+J78</f>
        <v>295113.3683002356</v>
      </c>
      <c r="K12" s="2"/>
    </row>
    <row r="13" spans="1:11" ht="15">
      <c r="A13" s="19">
        <v>2023</v>
      </c>
      <c r="B13" s="19"/>
      <c r="C13" s="39"/>
      <c r="D13" s="23"/>
      <c r="E13" s="23">
        <f>E21+E37+E46+E29+E54+E62+E71+E79</f>
        <v>45167592.48925236</v>
      </c>
      <c r="F13" s="23">
        <f>F21+F37+F46+F29+F54+F62+F71+F79</f>
        <v>42061662.01855141</v>
      </c>
      <c r="G13" s="23">
        <f>G21+G37+G46+G29+G54+G62+G71+G79</f>
        <v>3105930.4707009424</v>
      </c>
      <c r="H13" s="23">
        <f>H21+H37+H46+H29+H54+H62+H71+H79</f>
        <v>26901520.523627356</v>
      </c>
      <c r="I13" s="71">
        <f>I21+I37+I46+I29+I54+I62+I71+I79</f>
        <v>26393534.13355141</v>
      </c>
      <c r="J13" s="71">
        <f>J29+J21+J36+J46+J54+J62+J71+J79</f>
        <v>507986.39007594244</v>
      </c>
      <c r="K13" s="2"/>
    </row>
    <row r="14" spans="1:11" ht="15">
      <c r="A14" s="19">
        <v>2024</v>
      </c>
      <c r="B14" s="19"/>
      <c r="C14" s="23"/>
      <c r="D14" s="23"/>
      <c r="E14" s="23">
        <f>E22+E40+E48+E30+E56+E64+E72+E80</f>
        <v>44633356.14825235</v>
      </c>
      <c r="F14" s="23">
        <f>F22+F40+F48+F30+F56+F64+F72+F80</f>
        <v>41403410.20145141</v>
      </c>
      <c r="G14" s="23">
        <f>G22+G40+G48+G30+G56+G64+G72+G80</f>
        <v>3229945.946800942</v>
      </c>
      <c r="H14" s="23">
        <f>H22+H40+H48+H30+H56+H64+H72+H80</f>
        <v>25916706.148252357</v>
      </c>
      <c r="I14" s="71">
        <f>I22+I40+I48+I30+I56+I64+I72+I80</f>
        <v>25360236.451451413</v>
      </c>
      <c r="J14" s="71">
        <f>J30+J22+J40+J48+J56+J64+J72+J80</f>
        <v>556469.6968009424</v>
      </c>
      <c r="K14" s="2"/>
    </row>
    <row r="15" spans="1:11" ht="15">
      <c r="A15" s="109" t="s">
        <v>55</v>
      </c>
      <c r="B15" s="109"/>
      <c r="C15" s="109"/>
      <c r="D15" s="109"/>
      <c r="E15" s="109"/>
      <c r="F15" s="109"/>
      <c r="G15" s="109"/>
      <c r="H15" s="109"/>
      <c r="I15" s="109"/>
      <c r="J15" s="109"/>
      <c r="K15" s="2"/>
    </row>
    <row r="16" spans="1:10" ht="15">
      <c r="A16" s="21" t="s">
        <v>5</v>
      </c>
      <c r="B16" s="21"/>
      <c r="C16" s="17">
        <v>0</v>
      </c>
      <c r="D16" s="3">
        <v>0</v>
      </c>
      <c r="E16" s="3">
        <v>0</v>
      </c>
      <c r="F16" s="32">
        <v>0</v>
      </c>
      <c r="G16" s="32">
        <v>0</v>
      </c>
      <c r="H16" s="3"/>
      <c r="I16" s="3"/>
      <c r="J16" s="3"/>
    </row>
    <row r="17" spans="1:10" ht="15">
      <c r="A17" s="21" t="s">
        <v>10</v>
      </c>
      <c r="B17" s="21"/>
      <c r="C17" s="24">
        <f>C16+C16*$B$9</f>
        <v>0</v>
      </c>
      <c r="D17" s="3">
        <v>0</v>
      </c>
      <c r="E17" s="3">
        <v>0</v>
      </c>
      <c r="F17" s="32">
        <v>0</v>
      </c>
      <c r="G17" s="32">
        <v>0</v>
      </c>
      <c r="H17" s="3"/>
      <c r="I17" s="3"/>
      <c r="J17" s="3"/>
    </row>
    <row r="18" spans="1:10" ht="15">
      <c r="A18" s="21" t="s">
        <v>24</v>
      </c>
      <c r="B18" s="21"/>
      <c r="C18" s="24">
        <f>C17+C17*$B$10</f>
        <v>0</v>
      </c>
      <c r="D18" s="3">
        <v>0</v>
      </c>
      <c r="E18" s="3">
        <v>0</v>
      </c>
      <c r="F18" s="32">
        <v>0</v>
      </c>
      <c r="G18" s="32">
        <v>0</v>
      </c>
      <c r="H18" s="3"/>
      <c r="I18" s="3"/>
      <c r="J18" s="3"/>
    </row>
    <row r="19" spans="1:10" ht="30.75" customHeight="1">
      <c r="A19" s="11" t="s">
        <v>11</v>
      </c>
      <c r="B19" s="11"/>
      <c r="C19" s="24"/>
      <c r="D19" s="5"/>
      <c r="E19" s="13"/>
      <c r="F19" s="59">
        <v>1</v>
      </c>
      <c r="G19" s="59">
        <v>0</v>
      </c>
      <c r="H19" s="35"/>
      <c r="I19" s="6">
        <v>1</v>
      </c>
      <c r="J19" s="6">
        <v>0</v>
      </c>
    </row>
    <row r="20" spans="1:10" ht="15">
      <c r="A20" s="3">
        <v>2022</v>
      </c>
      <c r="B20" s="3"/>
      <c r="C20" s="73">
        <v>8000</v>
      </c>
      <c r="D20" s="17">
        <v>21.3</v>
      </c>
      <c r="E20" s="30">
        <f>C20*D20/12*9+E16/12*3</f>
        <v>127800</v>
      </c>
      <c r="F20" s="37">
        <f>E20</f>
        <v>127800</v>
      </c>
      <c r="G20" s="12">
        <v>0</v>
      </c>
      <c r="H20" s="30">
        <f>(E20-E16)</f>
        <v>127800</v>
      </c>
      <c r="I20" s="29">
        <f>H20</f>
        <v>127800</v>
      </c>
      <c r="J20" s="4">
        <v>0</v>
      </c>
    </row>
    <row r="21" spans="1:10" ht="15">
      <c r="A21" s="3">
        <v>2023</v>
      </c>
      <c r="B21" s="3"/>
      <c r="C21" s="73">
        <f>C20*0.7</f>
        <v>5600</v>
      </c>
      <c r="D21" s="17">
        <v>21.3</v>
      </c>
      <c r="E21" s="42">
        <f>C21*D21</f>
        <v>119280</v>
      </c>
      <c r="F21" s="37">
        <f>E21</f>
        <v>119280</v>
      </c>
      <c r="G21" s="3">
        <v>0</v>
      </c>
      <c r="H21" s="24">
        <f>E21-E17</f>
        <v>119280</v>
      </c>
      <c r="I21" s="4">
        <f>H21</f>
        <v>119280</v>
      </c>
      <c r="J21" s="4">
        <v>0</v>
      </c>
    </row>
    <row r="22" spans="1:10" ht="15">
      <c r="A22" s="3">
        <v>2024</v>
      </c>
      <c r="B22" s="3"/>
      <c r="C22" s="73">
        <f>C21*0.7</f>
        <v>3919.9999999999995</v>
      </c>
      <c r="D22" s="17">
        <v>21.3</v>
      </c>
      <c r="E22" s="42">
        <f>C22*D22</f>
        <v>83496</v>
      </c>
      <c r="F22" s="37">
        <f>E22</f>
        <v>83496</v>
      </c>
      <c r="G22" s="3">
        <v>0</v>
      </c>
      <c r="H22" s="24">
        <f>E22-E18</f>
        <v>83496</v>
      </c>
      <c r="I22" s="4">
        <f>H22</f>
        <v>83496</v>
      </c>
      <c r="J22" s="4">
        <v>0</v>
      </c>
    </row>
    <row r="23" spans="1:10" ht="15">
      <c r="A23" s="117" t="s">
        <v>30</v>
      </c>
      <c r="B23" s="118"/>
      <c r="C23" s="118"/>
      <c r="D23" s="118"/>
      <c r="E23" s="118"/>
      <c r="F23" s="118"/>
      <c r="G23" s="118"/>
      <c r="H23" s="118"/>
      <c r="I23" s="118"/>
      <c r="J23" s="119"/>
    </row>
    <row r="24" spans="1:10" ht="15">
      <c r="A24" s="21" t="s">
        <v>5</v>
      </c>
      <c r="B24" s="21"/>
      <c r="C24" s="17">
        <v>0</v>
      </c>
      <c r="D24" s="3">
        <v>0</v>
      </c>
      <c r="E24" s="3">
        <v>0</v>
      </c>
      <c r="F24" s="32">
        <v>0</v>
      </c>
      <c r="G24" s="32">
        <v>0</v>
      </c>
      <c r="H24" s="3"/>
      <c r="I24" s="3"/>
      <c r="J24" s="3"/>
    </row>
    <row r="25" spans="1:10" ht="15">
      <c r="A25" s="21" t="s">
        <v>10</v>
      </c>
      <c r="B25" s="21"/>
      <c r="C25" s="24">
        <f>C24+C24*$B$9</f>
        <v>0</v>
      </c>
      <c r="D25" s="3">
        <v>0</v>
      </c>
      <c r="E25" s="3">
        <v>0</v>
      </c>
      <c r="F25" s="32">
        <v>0</v>
      </c>
      <c r="G25" s="32">
        <v>0</v>
      </c>
      <c r="H25" s="3"/>
      <c r="I25" s="3"/>
      <c r="J25" s="3"/>
    </row>
    <row r="26" spans="1:10" ht="15">
      <c r="A26" s="21" t="s">
        <v>24</v>
      </c>
      <c r="B26" s="21"/>
      <c r="C26" s="24">
        <f>C25+C25*$B$10</f>
        <v>0</v>
      </c>
      <c r="D26" s="3">
        <v>0</v>
      </c>
      <c r="E26" s="3">
        <v>0</v>
      </c>
      <c r="F26" s="32">
        <v>0</v>
      </c>
      <c r="G26" s="32">
        <v>0</v>
      </c>
      <c r="H26" s="3"/>
      <c r="I26" s="3"/>
      <c r="J26" s="3"/>
    </row>
    <row r="27" spans="1:10" ht="60">
      <c r="A27" s="11" t="s">
        <v>11</v>
      </c>
      <c r="B27" s="11"/>
      <c r="C27" s="24"/>
      <c r="D27" s="5"/>
      <c r="E27" s="13"/>
      <c r="F27" s="78">
        <v>0.6</v>
      </c>
      <c r="G27" s="78">
        <v>0.4</v>
      </c>
      <c r="H27" s="35"/>
      <c r="I27" s="6">
        <v>0.6</v>
      </c>
      <c r="J27" s="6">
        <v>0.4</v>
      </c>
    </row>
    <row r="28" spans="1:10" ht="15">
      <c r="A28" s="3">
        <v>2022</v>
      </c>
      <c r="B28" s="3"/>
      <c r="C28" s="84">
        <v>881977.824</v>
      </c>
      <c r="D28" s="17">
        <v>0.12</v>
      </c>
      <c r="E28" s="30">
        <f>(C28*D28/12*3+E24/12*9)/1.1884</f>
        <v>22264.67075058903</v>
      </c>
      <c r="F28" s="37">
        <f>E28*0.6</f>
        <v>13358.802450353418</v>
      </c>
      <c r="G28" s="12">
        <f>E28*0.4</f>
        <v>8905.868300235612</v>
      </c>
      <c r="H28" s="30">
        <f>(E28-E24)</f>
        <v>22264.67075058903</v>
      </c>
      <c r="I28" s="29">
        <f>H28*0.6</f>
        <v>13358.802450353418</v>
      </c>
      <c r="J28" s="29">
        <f>H28*0.4</f>
        <v>8905.868300235612</v>
      </c>
    </row>
    <row r="29" spans="1:10" ht="15">
      <c r="A29" s="3">
        <v>2023</v>
      </c>
      <c r="B29" s="3"/>
      <c r="C29" s="84">
        <v>881977.824</v>
      </c>
      <c r="D29" s="17">
        <v>0.12</v>
      </c>
      <c r="E29" s="76">
        <f>(C29*D29)/1.1884</f>
        <v>89058.68300235612</v>
      </c>
      <c r="F29" s="37">
        <f>E29*0.6</f>
        <v>53435.20980141367</v>
      </c>
      <c r="G29" s="12">
        <f>E29*0.4</f>
        <v>35623.47320094245</v>
      </c>
      <c r="H29" s="24">
        <f>E29-E25</f>
        <v>89058.68300235612</v>
      </c>
      <c r="I29" s="8">
        <f>H29*0.6</f>
        <v>53435.20980141367</v>
      </c>
      <c r="J29" s="8">
        <f>H29*0.4</f>
        <v>35623.47320094245</v>
      </c>
    </row>
    <row r="30" spans="1:10" ht="15">
      <c r="A30" s="3">
        <v>2024</v>
      </c>
      <c r="B30" s="3"/>
      <c r="C30" s="84">
        <v>881977.824</v>
      </c>
      <c r="D30" s="17">
        <v>0.12</v>
      </c>
      <c r="E30" s="76">
        <f>(C30*D30)/1.1884</f>
        <v>89058.68300235612</v>
      </c>
      <c r="F30" s="37">
        <f>E30*0.6</f>
        <v>53435.20980141367</v>
      </c>
      <c r="G30" s="12">
        <f>E30*0.4</f>
        <v>35623.47320094245</v>
      </c>
      <c r="H30" s="24">
        <f>E30-E26</f>
        <v>89058.68300235612</v>
      </c>
      <c r="I30" s="8">
        <f>H30*0.6</f>
        <v>53435.20980141367</v>
      </c>
      <c r="J30" s="8">
        <f>H30*0.4</f>
        <v>35623.47320094245</v>
      </c>
    </row>
    <row r="31" spans="1:10" ht="15">
      <c r="A31" s="110" t="s">
        <v>33</v>
      </c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0" ht="60">
      <c r="A32" s="11" t="s">
        <v>11</v>
      </c>
      <c r="B32" s="11"/>
      <c r="C32" s="9"/>
      <c r="D32" s="5"/>
      <c r="E32" s="13"/>
      <c r="F32" s="59">
        <v>1</v>
      </c>
      <c r="G32" s="59">
        <v>0</v>
      </c>
      <c r="H32" s="35"/>
      <c r="I32" s="81">
        <v>1</v>
      </c>
      <c r="J32" s="81">
        <v>0</v>
      </c>
    </row>
    <row r="33" spans="1:10" ht="15">
      <c r="A33" s="11" t="s">
        <v>5</v>
      </c>
      <c r="B33" s="11"/>
      <c r="C33" s="8">
        <v>51000</v>
      </c>
      <c r="D33" s="14">
        <v>55</v>
      </c>
      <c r="E33" s="15">
        <f>C33*D33</f>
        <v>2805000</v>
      </c>
      <c r="F33" s="33">
        <f>E33*1</f>
        <v>2805000</v>
      </c>
      <c r="G33" s="33">
        <v>0</v>
      </c>
      <c r="H33" s="36"/>
      <c r="I33" s="8">
        <f>F33*I32-F33</f>
        <v>0</v>
      </c>
      <c r="J33" s="8">
        <f>F33*J32-G33</f>
        <v>0</v>
      </c>
    </row>
    <row r="34" spans="1:10" ht="15">
      <c r="A34" s="3">
        <v>2022</v>
      </c>
      <c r="B34" s="3"/>
      <c r="C34" s="9">
        <v>51000</v>
      </c>
      <c r="D34" s="10">
        <v>110</v>
      </c>
      <c r="E34" s="9">
        <f>C34*D34</f>
        <v>5610000</v>
      </c>
      <c r="F34" s="8">
        <f>E34</f>
        <v>5610000</v>
      </c>
      <c r="G34" s="8">
        <v>0</v>
      </c>
      <c r="H34" s="42">
        <f>E34-E33</f>
        <v>2805000</v>
      </c>
      <c r="I34" s="42">
        <f>H34*I32</f>
        <v>2805000</v>
      </c>
      <c r="J34" s="75">
        <f>H34*J32</f>
        <v>0</v>
      </c>
    </row>
    <row r="35" spans="1:10" ht="15">
      <c r="A35" s="3"/>
      <c r="B35" s="3"/>
      <c r="C35" s="9"/>
      <c r="D35" s="10"/>
      <c r="E35" s="9"/>
      <c r="F35" s="8"/>
      <c r="G35" s="8"/>
      <c r="H35" s="42"/>
      <c r="I35" s="65">
        <v>1</v>
      </c>
      <c r="J35" s="66">
        <v>0</v>
      </c>
    </row>
    <row r="36" spans="1:10" ht="15">
      <c r="A36" s="11" t="s">
        <v>10</v>
      </c>
      <c r="B36" s="11"/>
      <c r="C36" s="8">
        <v>51000</v>
      </c>
      <c r="D36" s="16">
        <v>55</v>
      </c>
      <c r="E36" s="15">
        <f>C36*D36</f>
        <v>2805000</v>
      </c>
      <c r="F36" s="33">
        <f>E36*1</f>
        <v>2805000</v>
      </c>
      <c r="G36" s="33">
        <v>0</v>
      </c>
      <c r="H36" s="8"/>
      <c r="I36" s="24">
        <f>F36*I35-F36</f>
        <v>0</v>
      </c>
      <c r="J36" s="72">
        <f>F36*J35-G36</f>
        <v>0</v>
      </c>
    </row>
    <row r="37" spans="1:10" ht="15">
      <c r="A37" s="3">
        <v>2023</v>
      </c>
      <c r="B37" s="3"/>
      <c r="C37" s="9">
        <f>C34*0.95</f>
        <v>48450</v>
      </c>
      <c r="D37" s="10">
        <v>110</v>
      </c>
      <c r="E37" s="64">
        <f>C37*D37</f>
        <v>5329500</v>
      </c>
      <c r="F37" s="8">
        <f>E37</f>
        <v>5329500</v>
      </c>
      <c r="G37" s="8">
        <v>0</v>
      </c>
      <c r="H37" s="8">
        <f>(E37-E36)</f>
        <v>2524500</v>
      </c>
      <c r="I37" s="24">
        <f>H37*I35</f>
        <v>2524500</v>
      </c>
      <c r="J37" s="72">
        <f>H37*J35</f>
        <v>0</v>
      </c>
    </row>
    <row r="38" spans="1:10" ht="15">
      <c r="A38" s="3"/>
      <c r="B38" s="3"/>
      <c r="C38" s="9"/>
      <c r="D38" s="10"/>
      <c r="E38" s="64"/>
      <c r="F38" s="8"/>
      <c r="G38" s="8"/>
      <c r="H38" s="8"/>
      <c r="I38" s="67">
        <v>1</v>
      </c>
      <c r="J38" s="68">
        <v>0</v>
      </c>
    </row>
    <row r="39" spans="1:10" ht="15">
      <c r="A39" s="11" t="s">
        <v>24</v>
      </c>
      <c r="B39" s="11"/>
      <c r="C39" s="8">
        <v>51000</v>
      </c>
      <c r="D39" s="16">
        <v>55</v>
      </c>
      <c r="E39" s="15">
        <f>C39*D39</f>
        <v>2805000</v>
      </c>
      <c r="F39" s="33">
        <f>E39</f>
        <v>2805000</v>
      </c>
      <c r="G39" s="33">
        <v>0</v>
      </c>
      <c r="H39" s="8"/>
      <c r="I39" s="24">
        <f>F39*I38-F39</f>
        <v>0</v>
      </c>
      <c r="J39" s="72">
        <f>F39*J38-G39</f>
        <v>0</v>
      </c>
    </row>
    <row r="40" spans="1:10" ht="15">
      <c r="A40" s="3">
        <v>2024</v>
      </c>
      <c r="B40" s="3"/>
      <c r="C40" s="9">
        <f>C37*0.95</f>
        <v>46027.5</v>
      </c>
      <c r="D40" s="10">
        <v>110</v>
      </c>
      <c r="E40" s="64">
        <f>C40*D40</f>
        <v>5063025</v>
      </c>
      <c r="F40" s="8">
        <f>E40</f>
        <v>5063025</v>
      </c>
      <c r="G40" s="8">
        <v>0</v>
      </c>
      <c r="H40" s="8">
        <f>E40-E39</f>
        <v>2258025</v>
      </c>
      <c r="I40" s="24">
        <f>H40*I38</f>
        <v>2258025</v>
      </c>
      <c r="J40" s="72">
        <f>H40*J38</f>
        <v>0</v>
      </c>
    </row>
    <row r="41" spans="1:10" ht="15">
      <c r="A41" s="110" t="s">
        <v>34</v>
      </c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0" ht="49.5" customHeight="1">
      <c r="A42" s="11" t="s">
        <v>11</v>
      </c>
      <c r="B42" s="11"/>
      <c r="C42" s="9"/>
      <c r="D42" s="5"/>
      <c r="E42" s="13"/>
      <c r="F42" s="59">
        <v>1</v>
      </c>
      <c r="G42" s="59">
        <v>0</v>
      </c>
      <c r="H42" s="35"/>
      <c r="I42" s="6">
        <v>1</v>
      </c>
      <c r="J42" s="6">
        <v>0</v>
      </c>
    </row>
    <row r="43" spans="1:11" ht="15">
      <c r="A43" s="11" t="s">
        <v>5</v>
      </c>
      <c r="B43" s="11"/>
      <c r="C43" s="8">
        <v>0</v>
      </c>
      <c r="D43" s="14">
        <v>0</v>
      </c>
      <c r="E43" s="15">
        <f>C43*D43</f>
        <v>0</v>
      </c>
      <c r="F43" s="33">
        <f aca="true" t="shared" si="0" ref="F43:F48">E43</f>
        <v>0</v>
      </c>
      <c r="G43" s="33">
        <v>0</v>
      </c>
      <c r="H43" s="36"/>
      <c r="I43" s="7">
        <f>F43*I42-F43</f>
        <v>0</v>
      </c>
      <c r="J43" s="7">
        <f>F43*J42-G43</f>
        <v>0</v>
      </c>
      <c r="K43" s="2"/>
    </row>
    <row r="44" spans="1:10" ht="15">
      <c r="A44" s="3">
        <v>2022</v>
      </c>
      <c r="B44" s="3"/>
      <c r="C44" s="9">
        <v>600000</v>
      </c>
      <c r="D44" s="10">
        <v>1.25</v>
      </c>
      <c r="E44" s="41">
        <f>C44*D44/12*9+E43/12*3</f>
        <v>562500</v>
      </c>
      <c r="F44" s="8">
        <f t="shared" si="0"/>
        <v>562500</v>
      </c>
      <c r="G44" s="8">
        <v>0</v>
      </c>
      <c r="H44" s="29">
        <f>E44-E43</f>
        <v>562500</v>
      </c>
      <c r="I44" s="43">
        <f>H44*I42</f>
        <v>562500</v>
      </c>
      <c r="J44" s="75">
        <f>H44*J42</f>
        <v>0</v>
      </c>
    </row>
    <row r="45" spans="1:10" ht="15">
      <c r="A45" s="11" t="s">
        <v>10</v>
      </c>
      <c r="B45" s="11"/>
      <c r="C45" s="8">
        <v>0</v>
      </c>
      <c r="D45" s="16">
        <v>0</v>
      </c>
      <c r="E45" s="8">
        <f>C45*D45</f>
        <v>0</v>
      </c>
      <c r="F45" s="33">
        <f t="shared" si="0"/>
        <v>0</v>
      </c>
      <c r="G45" s="33">
        <v>0</v>
      </c>
      <c r="H45" s="8"/>
      <c r="I45" s="24">
        <f>F45*I42-F45</f>
        <v>0</v>
      </c>
      <c r="J45" s="72">
        <f>F45*J42-G45</f>
        <v>0</v>
      </c>
    </row>
    <row r="46" spans="1:10" ht="15">
      <c r="A46" s="3">
        <v>2023</v>
      </c>
      <c r="B46" s="3"/>
      <c r="C46" s="61">
        <f>C44*0.95</f>
        <v>570000</v>
      </c>
      <c r="D46" s="10">
        <v>1.25</v>
      </c>
      <c r="E46" s="64">
        <f>C46*D46</f>
        <v>712500</v>
      </c>
      <c r="F46" s="8">
        <f t="shared" si="0"/>
        <v>712500</v>
      </c>
      <c r="G46" s="8">
        <v>0</v>
      </c>
      <c r="H46" s="8">
        <f>(E46-E45)</f>
        <v>712500</v>
      </c>
      <c r="I46" s="24">
        <f>H46*I42</f>
        <v>712500</v>
      </c>
      <c r="J46" s="72">
        <f>H46*J42</f>
        <v>0</v>
      </c>
    </row>
    <row r="47" spans="1:10" ht="15">
      <c r="A47" s="11" t="s">
        <v>24</v>
      </c>
      <c r="B47" s="11"/>
      <c r="C47" s="8">
        <v>0</v>
      </c>
      <c r="D47" s="16">
        <v>0</v>
      </c>
      <c r="E47" s="8">
        <f>C47*D47</f>
        <v>0</v>
      </c>
      <c r="F47" s="33">
        <f t="shared" si="0"/>
        <v>0</v>
      </c>
      <c r="G47" s="33">
        <v>0</v>
      </c>
      <c r="H47" s="8"/>
      <c r="I47" s="24">
        <f>F47*I42-F47</f>
        <v>0</v>
      </c>
      <c r="J47" s="72">
        <f>F47*J42-G47</f>
        <v>0</v>
      </c>
    </row>
    <row r="48" spans="1:10" ht="15">
      <c r="A48" s="3">
        <v>2024</v>
      </c>
      <c r="B48" s="3"/>
      <c r="C48" s="61">
        <f>C46*0.95</f>
        <v>541500</v>
      </c>
      <c r="D48" s="10">
        <v>1.25</v>
      </c>
      <c r="E48" s="64">
        <f>C48*D48</f>
        <v>676875</v>
      </c>
      <c r="F48" s="8">
        <f t="shared" si="0"/>
        <v>676875</v>
      </c>
      <c r="G48" s="8">
        <v>0</v>
      </c>
      <c r="H48" s="8">
        <f>E48-E47</f>
        <v>676875</v>
      </c>
      <c r="I48" s="24">
        <f>H48*I42</f>
        <v>676875</v>
      </c>
      <c r="J48" s="72">
        <f>H48*J42</f>
        <v>0</v>
      </c>
    </row>
    <row r="49" spans="1:10" ht="15">
      <c r="A49" s="110" t="s">
        <v>41</v>
      </c>
      <c r="B49" s="110"/>
      <c r="C49" s="110"/>
      <c r="D49" s="110"/>
      <c r="E49" s="110"/>
      <c r="F49" s="110"/>
      <c r="G49" s="110"/>
      <c r="H49" s="110"/>
      <c r="I49" s="110"/>
      <c r="J49" s="110"/>
    </row>
    <row r="50" spans="1:10" ht="60">
      <c r="A50" s="11" t="s">
        <v>11</v>
      </c>
      <c r="B50" s="11"/>
      <c r="C50" s="44"/>
      <c r="D50" s="86"/>
      <c r="E50" s="89"/>
      <c r="F50" s="78"/>
      <c r="G50" s="78"/>
      <c r="H50" s="35"/>
      <c r="I50" s="88"/>
      <c r="J50" s="88"/>
    </row>
    <row r="51" spans="1:10" ht="15">
      <c r="A51" s="11" t="s">
        <v>5</v>
      </c>
      <c r="B51" s="11"/>
      <c r="C51" s="87">
        <v>161500</v>
      </c>
      <c r="D51" s="86">
        <v>80</v>
      </c>
      <c r="E51" s="91">
        <f>C51*D51/12*9+170000*65/12*3</f>
        <v>12452500</v>
      </c>
      <c r="F51" s="33">
        <f>E51*0.9</f>
        <v>11207250</v>
      </c>
      <c r="G51" s="33">
        <f>E51*0.1</f>
        <v>1245250</v>
      </c>
      <c r="H51" s="35"/>
      <c r="I51" s="90">
        <v>0.9</v>
      </c>
      <c r="J51" s="90">
        <v>0.1</v>
      </c>
    </row>
    <row r="52" spans="1:10" ht="15">
      <c r="A52" s="88">
        <v>2022</v>
      </c>
      <c r="B52" s="88"/>
      <c r="C52" s="44">
        <v>161500</v>
      </c>
      <c r="D52" s="6">
        <v>95</v>
      </c>
      <c r="E52" s="41">
        <f>C52*D52/12*9+170000*65/12*3</f>
        <v>14269375</v>
      </c>
      <c r="F52" s="87">
        <f>E52*0.9</f>
        <v>12842437.5</v>
      </c>
      <c r="G52" s="87">
        <f>E52*0.1</f>
        <v>1426937.5</v>
      </c>
      <c r="H52" s="43">
        <f>E52-E51</f>
        <v>1816875</v>
      </c>
      <c r="I52" s="43">
        <f>H52*I51</f>
        <v>1635187.5</v>
      </c>
      <c r="J52" s="92">
        <f>H52*J51</f>
        <v>181687.5</v>
      </c>
    </row>
    <row r="53" spans="1:10" ht="15">
      <c r="A53" s="11" t="s">
        <v>10</v>
      </c>
      <c r="B53" s="11"/>
      <c r="C53" s="87">
        <v>153425</v>
      </c>
      <c r="D53" s="86">
        <v>95</v>
      </c>
      <c r="E53" s="91">
        <f>C53*D53/12*9+C51*D51/12*3</f>
        <v>14161531.25</v>
      </c>
      <c r="F53" s="33">
        <f>E53*0.85</f>
        <v>12037301.5625</v>
      </c>
      <c r="G53" s="33">
        <f>E53*0.15</f>
        <v>2124229.6875</v>
      </c>
      <c r="H53" s="87"/>
      <c r="I53" s="93">
        <v>0.85</v>
      </c>
      <c r="J53" s="94">
        <v>0.15</v>
      </c>
    </row>
    <row r="54" spans="1:10" ht="15">
      <c r="A54" s="88">
        <v>2023</v>
      </c>
      <c r="B54" s="88"/>
      <c r="C54" s="44">
        <f>C52*0.95</f>
        <v>153425</v>
      </c>
      <c r="D54" s="6">
        <v>110</v>
      </c>
      <c r="E54" s="95">
        <f>C54*D54/12*9+C52*D52/12*3</f>
        <v>16493187.5</v>
      </c>
      <c r="F54" s="87">
        <f>E54*0.85</f>
        <v>14019209.375</v>
      </c>
      <c r="G54" s="87">
        <f>E54*0.15</f>
        <v>2473978.125</v>
      </c>
      <c r="H54" s="29">
        <f>(E54-E53)</f>
        <v>2331656.25</v>
      </c>
      <c r="I54" s="29">
        <f>H54*I53</f>
        <v>1981907.8125</v>
      </c>
      <c r="J54" s="96">
        <f>H54*J53</f>
        <v>349748.4375</v>
      </c>
    </row>
    <row r="55" spans="1:10" ht="15">
      <c r="A55" s="11" t="s">
        <v>24</v>
      </c>
      <c r="B55" s="11"/>
      <c r="C55" s="87">
        <v>153425</v>
      </c>
      <c r="D55" s="86">
        <v>95</v>
      </c>
      <c r="E55" s="91">
        <f>C55*D55</f>
        <v>14575375</v>
      </c>
      <c r="F55" s="33">
        <f>E55*0.85</f>
        <v>12389068.75</v>
      </c>
      <c r="G55" s="33">
        <f>E55*0.15</f>
        <v>2186306.25</v>
      </c>
      <c r="H55" s="87"/>
      <c r="I55" s="97">
        <v>0.85</v>
      </c>
      <c r="J55" s="98">
        <v>0.15</v>
      </c>
    </row>
    <row r="56" spans="1:10" ht="15">
      <c r="A56" s="88">
        <v>2024</v>
      </c>
      <c r="B56" s="88"/>
      <c r="C56" s="44">
        <f>C54*0.95</f>
        <v>145753.75</v>
      </c>
      <c r="D56" s="6">
        <v>120</v>
      </c>
      <c r="E56" s="95">
        <f>C56*D56/12*9+C54*D54/12*3</f>
        <v>17337025</v>
      </c>
      <c r="F56" s="87">
        <f>E56*0.85</f>
        <v>14736471.25</v>
      </c>
      <c r="G56" s="87">
        <f>E56*0.15</f>
        <v>2600553.75</v>
      </c>
      <c r="H56" s="29">
        <f>E56-E55</f>
        <v>2761650</v>
      </c>
      <c r="I56" s="29">
        <f>H56*I55</f>
        <v>2347402.5</v>
      </c>
      <c r="J56" s="96">
        <f>H56*J55</f>
        <v>414247.5</v>
      </c>
    </row>
    <row r="57" spans="1:10" ht="15">
      <c r="A57" s="110" t="s">
        <v>42</v>
      </c>
      <c r="B57" s="110"/>
      <c r="C57" s="110"/>
      <c r="D57" s="110"/>
      <c r="E57" s="110"/>
      <c r="F57" s="110"/>
      <c r="G57" s="110"/>
      <c r="H57" s="110"/>
      <c r="I57" s="110"/>
      <c r="J57" s="110"/>
    </row>
    <row r="58" spans="1:10" ht="60">
      <c r="A58" s="11" t="s">
        <v>11</v>
      </c>
      <c r="B58" s="11"/>
      <c r="C58" s="44"/>
      <c r="D58" s="86"/>
      <c r="E58" s="89"/>
      <c r="F58" s="59"/>
      <c r="G58" s="59"/>
      <c r="H58" s="35"/>
      <c r="I58" s="6">
        <v>0.8</v>
      </c>
      <c r="J58" s="6">
        <v>0.2</v>
      </c>
    </row>
    <row r="59" spans="1:10" ht="15">
      <c r="A59" s="11" t="s">
        <v>5</v>
      </c>
      <c r="B59" s="11"/>
      <c r="C59" s="87">
        <v>2492</v>
      </c>
      <c r="D59" s="86">
        <v>85</v>
      </c>
      <c r="E59" s="91">
        <f>C59*D59/12*9+2623*70/12*3</f>
        <v>204767.5</v>
      </c>
      <c r="F59" s="33">
        <f>E59*0.8</f>
        <v>163814</v>
      </c>
      <c r="G59" s="33">
        <f>E59*0.2</f>
        <v>40953.5</v>
      </c>
      <c r="H59" s="35"/>
      <c r="I59" s="90"/>
      <c r="J59" s="90"/>
    </row>
    <row r="60" spans="1:10" ht="15">
      <c r="A60" s="88">
        <v>2022</v>
      </c>
      <c r="B60" s="88"/>
      <c r="C60" s="44">
        <v>2492</v>
      </c>
      <c r="D60" s="6">
        <v>100</v>
      </c>
      <c r="E60" s="41">
        <f>C60*D60/12*9+2623*70/12*3</f>
        <v>232802.5</v>
      </c>
      <c r="F60" s="87">
        <f>E60*I58</f>
        <v>186242</v>
      </c>
      <c r="G60" s="87">
        <f>E60*J58</f>
        <v>46560.5</v>
      </c>
      <c r="H60" s="43">
        <f>E60-E59</f>
        <v>28035</v>
      </c>
      <c r="I60" s="43">
        <f>H60*I58</f>
        <v>22428</v>
      </c>
      <c r="J60" s="92">
        <f>H60*J58</f>
        <v>5607</v>
      </c>
    </row>
    <row r="61" spans="1:10" ht="15">
      <c r="A61" s="11" t="s">
        <v>10</v>
      </c>
      <c r="B61" s="11"/>
      <c r="C61" s="87">
        <v>2367.392875</v>
      </c>
      <c r="D61" s="86">
        <v>100</v>
      </c>
      <c r="E61" s="91">
        <f>C61*D61/12*9+D59*C59/12*3</f>
        <v>230509.465625</v>
      </c>
      <c r="F61" s="33">
        <f>E61*0.8</f>
        <v>184407.5725</v>
      </c>
      <c r="G61" s="33">
        <f>E61*0.2</f>
        <v>46101.893125</v>
      </c>
      <c r="H61" s="87"/>
      <c r="I61" s="93"/>
      <c r="J61" s="94"/>
    </row>
    <row r="62" spans="1:10" ht="15">
      <c r="A62" s="88">
        <v>2023</v>
      </c>
      <c r="B62" s="88"/>
      <c r="C62" s="44">
        <f>C60*0.95</f>
        <v>2367.4</v>
      </c>
      <c r="D62" s="6">
        <v>115</v>
      </c>
      <c r="E62" s="95">
        <f>C62*D62/12*9+C60*D60/12*3</f>
        <v>266488.25</v>
      </c>
      <c r="F62" s="87">
        <f>E62*I58</f>
        <v>213190.6</v>
      </c>
      <c r="G62" s="87">
        <f>E62*J58</f>
        <v>53297.65</v>
      </c>
      <c r="H62" s="29">
        <f>(E62-E61)</f>
        <v>35978.78437499999</v>
      </c>
      <c r="I62" s="29">
        <f>H62*I58</f>
        <v>28783.027499999993</v>
      </c>
      <c r="J62" s="96">
        <f>H62*J58</f>
        <v>7195.756874999998</v>
      </c>
    </row>
    <row r="63" spans="1:10" ht="15">
      <c r="A63" s="11" t="s">
        <v>24</v>
      </c>
      <c r="B63" s="11"/>
      <c r="C63" s="87">
        <v>2367</v>
      </c>
      <c r="D63" s="86">
        <v>100</v>
      </c>
      <c r="E63" s="91">
        <f>C63*D63</f>
        <v>236700</v>
      </c>
      <c r="F63" s="33">
        <f>E63*0.8</f>
        <v>189360</v>
      </c>
      <c r="G63" s="33">
        <f>E63*0.2</f>
        <v>47340</v>
      </c>
      <c r="H63" s="87"/>
      <c r="I63" s="97"/>
      <c r="J63" s="98"/>
    </row>
    <row r="64" spans="1:10" ht="15">
      <c r="A64" s="88">
        <v>2024</v>
      </c>
      <c r="B64" s="88"/>
      <c r="C64" s="44">
        <f>C62*0.95</f>
        <v>2249.03</v>
      </c>
      <c r="D64" s="6">
        <v>125</v>
      </c>
      <c r="E64" s="95">
        <f>C64*D64/12*9+C62*D62/12*3</f>
        <v>278909.3125</v>
      </c>
      <c r="F64" s="87">
        <f>E64*I58</f>
        <v>223127.45</v>
      </c>
      <c r="G64" s="87">
        <f>E64*J58</f>
        <v>55781.8625</v>
      </c>
      <c r="H64" s="29">
        <f>E64-E63</f>
        <v>42209.3125</v>
      </c>
      <c r="I64" s="29">
        <f>H64*I58</f>
        <v>33767.450000000004</v>
      </c>
      <c r="J64" s="96">
        <f>H64*J58</f>
        <v>8441.862500000001</v>
      </c>
    </row>
    <row r="65" spans="1:10" ht="15">
      <c r="A65" s="110" t="s">
        <v>50</v>
      </c>
      <c r="B65" s="110"/>
      <c r="C65" s="110"/>
      <c r="D65" s="110"/>
      <c r="E65" s="110"/>
      <c r="F65" s="110"/>
      <c r="G65" s="110"/>
      <c r="H65" s="110"/>
      <c r="I65" s="110"/>
      <c r="J65" s="110"/>
    </row>
    <row r="66" spans="1:10" ht="15">
      <c r="A66" s="19" t="s">
        <v>5</v>
      </c>
      <c r="B66" s="19"/>
      <c r="C66" s="87">
        <v>8145</v>
      </c>
      <c r="D66" s="86">
        <v>120</v>
      </c>
      <c r="E66" s="91">
        <f>C66*D66/12*9+8266*105/12*3</f>
        <v>950032.5</v>
      </c>
      <c r="F66" s="33">
        <f>E66*0.6</f>
        <v>570019.5</v>
      </c>
      <c r="G66" s="33">
        <f>E66*0.4</f>
        <v>380013</v>
      </c>
      <c r="H66" s="88"/>
      <c r="I66" s="88"/>
      <c r="J66" s="88"/>
    </row>
    <row r="67" spans="1:10" ht="15">
      <c r="A67" s="19" t="s">
        <v>10</v>
      </c>
      <c r="B67" s="19"/>
      <c r="C67" s="87">
        <v>8145</v>
      </c>
      <c r="D67" s="86">
        <v>135</v>
      </c>
      <c r="E67" s="91">
        <f>C67*D67/12*9+D66*C66/12*3</f>
        <v>1069031.25</v>
      </c>
      <c r="F67" s="33">
        <f>E67*0.6</f>
        <v>641418.75</v>
      </c>
      <c r="G67" s="33">
        <f>E67*0.4</f>
        <v>427612.5</v>
      </c>
      <c r="H67" s="88"/>
      <c r="I67" s="88"/>
      <c r="J67" s="88"/>
    </row>
    <row r="68" spans="1:10" ht="15">
      <c r="A68" s="19" t="s">
        <v>24</v>
      </c>
      <c r="B68" s="19"/>
      <c r="C68" s="87">
        <v>8145</v>
      </c>
      <c r="D68" s="86">
        <v>135</v>
      </c>
      <c r="E68" s="91">
        <f>C68*D68</f>
        <v>1099575</v>
      </c>
      <c r="F68" s="33">
        <f>E68*0.6</f>
        <v>659745</v>
      </c>
      <c r="G68" s="33">
        <f>E68*0.4</f>
        <v>439830</v>
      </c>
      <c r="H68" s="88"/>
      <c r="I68" s="88"/>
      <c r="J68" s="88"/>
    </row>
    <row r="69" spans="1:10" ht="60">
      <c r="A69" s="11" t="s">
        <v>11</v>
      </c>
      <c r="B69" s="11"/>
      <c r="C69" s="87"/>
      <c r="D69" s="86"/>
      <c r="E69" s="89"/>
      <c r="F69" s="89"/>
      <c r="G69" s="89"/>
      <c r="H69" s="35"/>
      <c r="I69" s="99">
        <v>0.6</v>
      </c>
      <c r="J69" s="99">
        <v>0.4</v>
      </c>
    </row>
    <row r="70" spans="1:10" ht="15">
      <c r="A70" s="88">
        <v>2022</v>
      </c>
      <c r="B70" s="88"/>
      <c r="C70" s="100">
        <f>(C66*30)/100+C66</f>
        <v>10588.5</v>
      </c>
      <c r="D70" s="81">
        <v>120</v>
      </c>
      <c r="E70" s="29">
        <f>C70*D70/12*9+C66*D66/12*3</f>
        <v>1197315</v>
      </c>
      <c r="F70" s="87">
        <f>E70*I69</f>
        <v>718389</v>
      </c>
      <c r="G70" s="87">
        <f>E70*J69</f>
        <v>478926</v>
      </c>
      <c r="H70" s="29">
        <f>E70-E66</f>
        <v>247282.5</v>
      </c>
      <c r="I70" s="29">
        <f>H70*I69</f>
        <v>148369.5</v>
      </c>
      <c r="J70" s="29">
        <f>H70*J69</f>
        <v>98913</v>
      </c>
    </row>
    <row r="71" spans="1:10" ht="15">
      <c r="A71" s="88">
        <v>2023</v>
      </c>
      <c r="B71" s="88"/>
      <c r="C71" s="100">
        <f>C70*0.97</f>
        <v>10270.845</v>
      </c>
      <c r="D71" s="81">
        <v>135</v>
      </c>
      <c r="E71" s="29">
        <f>C71*D71/12*9+C70*D70/12*3</f>
        <v>1357578.05625</v>
      </c>
      <c r="F71" s="87">
        <f>E71*I69</f>
        <v>814546.8337499999</v>
      </c>
      <c r="G71" s="87">
        <f>E71*J69</f>
        <v>543031.2225</v>
      </c>
      <c r="H71" s="29">
        <f>E71-E67</f>
        <v>288546.8062499999</v>
      </c>
      <c r="I71" s="29">
        <f>H71*I69</f>
        <v>173128.08374999993</v>
      </c>
      <c r="J71" s="29">
        <f>H71*J69</f>
        <v>115418.72249999997</v>
      </c>
    </row>
    <row r="72" spans="1:10" ht="15">
      <c r="A72" s="88">
        <v>2024</v>
      </c>
      <c r="B72" s="88"/>
      <c r="C72" s="100">
        <f>C71*0.97</f>
        <v>9962.71965</v>
      </c>
      <c r="D72" s="81">
        <v>135</v>
      </c>
      <c r="E72" s="8">
        <f>C72*D72</f>
        <v>1344967.15275</v>
      </c>
      <c r="F72" s="87">
        <f>E72*I69</f>
        <v>806980.2916499999</v>
      </c>
      <c r="G72" s="87">
        <f>E72*J69</f>
        <v>537986.8611</v>
      </c>
      <c r="H72" s="8">
        <f>E72-E68</f>
        <v>245392.1527499999</v>
      </c>
      <c r="I72" s="8">
        <f>H72*I69</f>
        <v>147235.29164999994</v>
      </c>
      <c r="J72" s="8">
        <f>H72*J69</f>
        <v>98156.86109999997</v>
      </c>
    </row>
    <row r="73" spans="1:10" ht="15">
      <c r="A73" s="109" t="s">
        <v>53</v>
      </c>
      <c r="B73" s="109"/>
      <c r="C73" s="109"/>
      <c r="D73" s="109"/>
      <c r="E73" s="109"/>
      <c r="F73" s="109"/>
      <c r="G73" s="109"/>
      <c r="H73" s="109"/>
      <c r="I73" s="109"/>
      <c r="J73" s="109"/>
    </row>
    <row r="74" spans="1:10" ht="15">
      <c r="A74" s="21" t="s">
        <v>5</v>
      </c>
      <c r="B74" s="21"/>
      <c r="C74" s="17">
        <v>0</v>
      </c>
      <c r="D74" s="88">
        <v>0</v>
      </c>
      <c r="E74" s="88">
        <v>0</v>
      </c>
      <c r="F74" s="32">
        <v>0</v>
      </c>
      <c r="G74" s="32">
        <v>0</v>
      </c>
      <c r="H74" s="88"/>
      <c r="I74" s="88"/>
      <c r="J74" s="88"/>
    </row>
    <row r="75" spans="1:10" ht="15">
      <c r="A75" s="21" t="s">
        <v>10</v>
      </c>
      <c r="B75" s="21"/>
      <c r="C75" s="24">
        <f>C74+C74*$B$9</f>
        <v>0</v>
      </c>
      <c r="D75" s="88">
        <v>0</v>
      </c>
      <c r="E75" s="88">
        <v>0</v>
      </c>
      <c r="F75" s="32">
        <v>0</v>
      </c>
      <c r="G75" s="32">
        <v>0</v>
      </c>
      <c r="H75" s="88"/>
      <c r="I75" s="88"/>
      <c r="J75" s="88"/>
    </row>
    <row r="76" spans="1:10" ht="15">
      <c r="A76" s="21" t="s">
        <v>24</v>
      </c>
      <c r="B76" s="21"/>
      <c r="C76" s="24">
        <f>C75+C75*$B$10</f>
        <v>0</v>
      </c>
      <c r="D76" s="88">
        <v>0</v>
      </c>
      <c r="E76" s="88">
        <v>0</v>
      </c>
      <c r="F76" s="32">
        <v>0</v>
      </c>
      <c r="G76" s="32">
        <v>0</v>
      </c>
      <c r="H76" s="88"/>
      <c r="I76" s="88"/>
      <c r="J76" s="88"/>
    </row>
    <row r="77" spans="1:10" ht="30.75" customHeight="1">
      <c r="A77" s="11" t="s">
        <v>11</v>
      </c>
      <c r="B77" s="11"/>
      <c r="C77" s="24"/>
      <c r="D77" s="5"/>
      <c r="E77" s="13"/>
      <c r="F77" s="59">
        <v>1</v>
      </c>
      <c r="G77" s="59">
        <v>0</v>
      </c>
      <c r="H77" s="35"/>
      <c r="I77" s="6">
        <v>1</v>
      </c>
      <c r="J77" s="6">
        <v>0</v>
      </c>
    </row>
    <row r="78" spans="1:10" ht="15">
      <c r="A78" s="88">
        <v>2022</v>
      </c>
      <c r="B78" s="88"/>
      <c r="C78" s="101">
        <v>0</v>
      </c>
      <c r="D78" s="102">
        <v>0.8</v>
      </c>
      <c r="E78" s="103">
        <f>C78*D78/12*9+E74/12*3</f>
        <v>0</v>
      </c>
      <c r="F78" s="103">
        <f>E78</f>
        <v>0</v>
      </c>
      <c r="G78" s="104">
        <v>0</v>
      </c>
      <c r="H78" s="103">
        <f>(E78-E74)</f>
        <v>0</v>
      </c>
      <c r="I78" s="105">
        <f>H78</f>
        <v>0</v>
      </c>
      <c r="J78" s="105">
        <v>0</v>
      </c>
    </row>
    <row r="79" spans="1:10" ht="15">
      <c r="A79" s="88">
        <v>2023</v>
      </c>
      <c r="B79" s="88"/>
      <c r="C79" s="42">
        <v>26000000</v>
      </c>
      <c r="D79" s="17">
        <v>0.8</v>
      </c>
      <c r="E79" s="42">
        <f>C79*D79</f>
        <v>20800000</v>
      </c>
      <c r="F79" s="37">
        <f>E79</f>
        <v>20800000</v>
      </c>
      <c r="G79" s="88">
        <v>0</v>
      </c>
      <c r="H79" s="24">
        <f>E79-E75</f>
        <v>20800000</v>
      </c>
      <c r="I79" s="87">
        <f>H79</f>
        <v>20800000</v>
      </c>
      <c r="J79" s="87">
        <v>0</v>
      </c>
    </row>
    <row r="80" spans="1:10" ht="15">
      <c r="A80" s="88">
        <v>2024</v>
      </c>
      <c r="B80" s="88"/>
      <c r="C80" s="42">
        <f>C79*0.95</f>
        <v>24700000</v>
      </c>
      <c r="D80" s="17">
        <v>0.8</v>
      </c>
      <c r="E80" s="42">
        <f>C80*D80</f>
        <v>19760000</v>
      </c>
      <c r="F80" s="37">
        <f>E80</f>
        <v>19760000</v>
      </c>
      <c r="G80" s="88">
        <v>0</v>
      </c>
      <c r="H80" s="24">
        <f>E80-E76</f>
        <v>19760000</v>
      </c>
      <c r="I80" s="87">
        <f>H80</f>
        <v>19760000</v>
      </c>
      <c r="J80" s="87">
        <v>0</v>
      </c>
    </row>
    <row r="81" spans="1:10" ht="15">
      <c r="A81" s="51"/>
      <c r="B81" s="51"/>
      <c r="C81" s="52"/>
      <c r="D81" s="49"/>
      <c r="E81" s="50"/>
      <c r="F81" s="50"/>
      <c r="G81" s="50"/>
      <c r="H81" s="53"/>
      <c r="I81" s="53"/>
      <c r="J81" s="50"/>
    </row>
    <row r="82" spans="1:6" ht="15">
      <c r="A82" s="79" t="s">
        <v>43</v>
      </c>
      <c r="B82" s="79"/>
      <c r="C82" s="80"/>
      <c r="D82" s="80"/>
      <c r="E82" s="80"/>
      <c r="F82" s="80"/>
    </row>
    <row r="83" spans="1:8" ht="15">
      <c r="A83" s="74" t="s">
        <v>39</v>
      </c>
      <c r="B83" s="74"/>
      <c r="C83" s="74"/>
      <c r="D83" s="74"/>
      <c r="E83" s="74"/>
      <c r="F83" s="74"/>
      <c r="G83" s="74"/>
      <c r="H83" s="74"/>
    </row>
    <row r="84" ht="15">
      <c r="A84" t="s">
        <v>35</v>
      </c>
    </row>
    <row r="85" spans="1:10" ht="15">
      <c r="A85" s="62" t="s">
        <v>22</v>
      </c>
      <c r="B85" s="54"/>
      <c r="C85" s="54"/>
      <c r="D85" s="54"/>
      <c r="E85" s="54"/>
      <c r="F85" s="54"/>
      <c r="G85" s="54"/>
      <c r="J85" s="63"/>
    </row>
    <row r="86" ht="15">
      <c r="A86" s="40" t="s">
        <v>23</v>
      </c>
    </row>
    <row r="87" spans="1:10" ht="15">
      <c r="A87" s="77" t="s">
        <v>38</v>
      </c>
      <c r="B87" s="77"/>
      <c r="C87" s="77"/>
      <c r="D87" s="77"/>
      <c r="E87" s="77"/>
      <c r="F87" s="77"/>
      <c r="G87" s="77"/>
      <c r="H87" s="77"/>
      <c r="I87" s="77"/>
      <c r="J87" s="77"/>
    </row>
    <row r="88" spans="1:4" ht="15">
      <c r="A88" s="85" t="s">
        <v>40</v>
      </c>
      <c r="B88" s="85"/>
      <c r="C88" s="54"/>
      <c r="D88" s="54"/>
    </row>
    <row r="89" spans="1:7" ht="15">
      <c r="A89" s="107" t="s">
        <v>58</v>
      </c>
      <c r="B89" s="107"/>
      <c r="C89" s="107"/>
      <c r="D89" s="107"/>
      <c r="E89" s="107"/>
      <c r="F89" s="107"/>
      <c r="G89" s="107"/>
    </row>
    <row r="90" spans="1:6" ht="15">
      <c r="A90" s="106" t="s">
        <v>54</v>
      </c>
      <c r="B90" s="106"/>
      <c r="C90" s="106"/>
      <c r="D90" s="106"/>
      <c r="E90" s="106"/>
      <c r="F90" s="106"/>
    </row>
    <row r="126" ht="15" customHeight="1"/>
    <row r="134" spans="11:12" ht="15">
      <c r="K134" s="48"/>
      <c r="L134" s="48"/>
    </row>
    <row r="142" spans="11:12" ht="15">
      <c r="K142" s="48"/>
      <c r="L142" s="48"/>
    </row>
    <row r="150" spans="11:12" ht="15">
      <c r="K150" s="48"/>
      <c r="L150" s="48"/>
    </row>
    <row r="155" spans="1:10" s="54" customFormat="1" ht="15">
      <c r="A155"/>
      <c r="B155"/>
      <c r="C155"/>
      <c r="D155"/>
      <c r="E155"/>
      <c r="F155"/>
      <c r="G155"/>
      <c r="H155"/>
      <c r="I155"/>
      <c r="J155"/>
    </row>
    <row r="158" ht="15" customHeight="1"/>
  </sheetData>
  <sheetProtection/>
  <mergeCells count="16">
    <mergeCell ref="A23:J23"/>
    <mergeCell ref="H5:J5"/>
    <mergeCell ref="E5:E6"/>
    <mergeCell ref="A15:J15"/>
    <mergeCell ref="A31:J31"/>
    <mergeCell ref="A41:J41"/>
    <mergeCell ref="K1:L1"/>
    <mergeCell ref="A73:J73"/>
    <mergeCell ref="A57:J57"/>
    <mergeCell ref="A65:J65"/>
    <mergeCell ref="A4:J4"/>
    <mergeCell ref="A5:A6"/>
    <mergeCell ref="B5:B6"/>
    <mergeCell ref="C5:C6"/>
    <mergeCell ref="D5:D6"/>
    <mergeCell ref="A49:J4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="110" zoomScaleNormal="110" zoomScalePageLayoutView="0" workbookViewId="0" topLeftCell="I1">
      <selection activeCell="P12" sqref="P12"/>
    </sheetView>
  </sheetViews>
  <sheetFormatPr defaultColWidth="9.140625" defaultRowHeight="15"/>
  <cols>
    <col min="1" max="1" width="4.421875" style="0" customWidth="1"/>
    <col min="2" max="2" width="20.8515625" style="0" customWidth="1"/>
    <col min="3" max="3" width="14.140625" style="0" customWidth="1"/>
    <col min="4" max="4" width="11.28125" style="0" bestFit="1" customWidth="1"/>
    <col min="5" max="5" width="11.421875" style="0" customWidth="1"/>
    <col min="6" max="6" width="10.140625" style="0" bestFit="1" customWidth="1"/>
    <col min="7" max="7" width="13.00390625" style="0" customWidth="1"/>
    <col min="8" max="8" width="11.28125" style="0" bestFit="1" customWidth="1"/>
    <col min="9" max="9" width="10.421875" style="0" bestFit="1" customWidth="1"/>
    <col min="10" max="10" width="11.00390625" style="0" customWidth="1"/>
    <col min="11" max="11" width="12.57421875" style="0" customWidth="1"/>
    <col min="12" max="12" width="10.140625" style="0" bestFit="1" customWidth="1"/>
    <col min="13" max="13" width="12.57421875" style="0" customWidth="1"/>
    <col min="14" max="14" width="11.28125" style="0" customWidth="1"/>
    <col min="15" max="15" width="11.00390625" style="0" customWidth="1"/>
    <col min="16" max="16" width="11.421875" style="0" customWidth="1"/>
    <col min="17" max="17" width="12.7109375" style="0" customWidth="1"/>
    <col min="18" max="18" width="10.140625" style="0" bestFit="1" customWidth="1"/>
    <col min="19" max="19" width="13.28125" style="0" customWidth="1"/>
    <col min="20" max="20" width="11.28125" style="0" bestFit="1" customWidth="1"/>
    <col min="21" max="21" width="10.140625" style="0" bestFit="1" customWidth="1"/>
  </cols>
  <sheetData>
    <row r="1" spans="1:21" ht="21" customHeight="1">
      <c r="A1" s="127"/>
      <c r="B1" s="125" t="s">
        <v>12</v>
      </c>
      <c r="C1" s="128" t="s">
        <v>17</v>
      </c>
      <c r="D1" s="123">
        <v>2022</v>
      </c>
      <c r="E1" s="123"/>
      <c r="F1" s="123"/>
      <c r="G1" s="123"/>
      <c r="H1" s="123"/>
      <c r="I1" s="123"/>
      <c r="J1" s="124">
        <v>2023</v>
      </c>
      <c r="K1" s="124"/>
      <c r="L1" s="124"/>
      <c r="M1" s="124"/>
      <c r="N1" s="124"/>
      <c r="O1" s="124"/>
      <c r="P1" s="123">
        <v>2024</v>
      </c>
      <c r="Q1" s="123"/>
      <c r="R1" s="123"/>
      <c r="S1" s="123"/>
      <c r="T1" s="123"/>
      <c r="U1" s="123"/>
    </row>
    <row r="2" spans="1:21" ht="30.75" customHeight="1">
      <c r="A2" s="127"/>
      <c r="B2" s="126"/>
      <c r="C2" s="128"/>
      <c r="D2" s="45" t="s">
        <v>15</v>
      </c>
      <c r="E2" s="46" t="s">
        <v>13</v>
      </c>
      <c r="F2" s="46" t="s">
        <v>14</v>
      </c>
      <c r="G2" s="45" t="s">
        <v>1</v>
      </c>
      <c r="H2" s="46" t="s">
        <v>13</v>
      </c>
      <c r="I2" s="46" t="s">
        <v>14</v>
      </c>
      <c r="J2" s="45" t="s">
        <v>15</v>
      </c>
      <c r="K2" s="46" t="s">
        <v>13</v>
      </c>
      <c r="L2" s="46" t="s">
        <v>14</v>
      </c>
      <c r="M2" s="45" t="s">
        <v>1</v>
      </c>
      <c r="N2" s="46" t="s">
        <v>13</v>
      </c>
      <c r="O2" s="46" t="s">
        <v>14</v>
      </c>
      <c r="P2" s="45" t="s">
        <v>15</v>
      </c>
      <c r="Q2" s="46" t="s">
        <v>13</v>
      </c>
      <c r="R2" s="46" t="s">
        <v>14</v>
      </c>
      <c r="S2" s="45" t="s">
        <v>1</v>
      </c>
      <c r="T2" s="46" t="s">
        <v>13</v>
      </c>
      <c r="U2" s="46" t="s">
        <v>14</v>
      </c>
    </row>
    <row r="3" spans="1:21" ht="30">
      <c r="A3" s="3">
        <v>1</v>
      </c>
      <c r="B3" s="55" t="s">
        <v>56</v>
      </c>
      <c r="C3" s="11" t="s">
        <v>27</v>
      </c>
      <c r="D3" s="3">
        <v>0</v>
      </c>
      <c r="E3" s="3">
        <v>0</v>
      </c>
      <c r="F3" s="3">
        <v>0</v>
      </c>
      <c r="G3" s="44">
        <f>DRN_aprēķins!H20</f>
        <v>127800</v>
      </c>
      <c r="H3" s="4">
        <f>DRN_aprēķins!I20</f>
        <v>127800</v>
      </c>
      <c r="I3" s="4">
        <f>DRN_aprēķins!J20</f>
        <v>0</v>
      </c>
      <c r="J3" s="3">
        <v>0</v>
      </c>
      <c r="K3" s="3">
        <v>0</v>
      </c>
      <c r="L3" s="3">
        <v>0</v>
      </c>
      <c r="M3" s="44">
        <f>DRN_aprēķins!H21</f>
        <v>119280</v>
      </c>
      <c r="N3" s="4">
        <f>DRN_aprēķins!I21</f>
        <v>119280</v>
      </c>
      <c r="O3" s="4">
        <f>DRN_aprēķins!J21</f>
        <v>0</v>
      </c>
      <c r="P3" s="3">
        <v>0</v>
      </c>
      <c r="Q3" s="3">
        <v>0</v>
      </c>
      <c r="R3" s="3">
        <v>0</v>
      </c>
      <c r="S3" s="44">
        <f>DRN_aprēķins!H22</f>
        <v>83496</v>
      </c>
      <c r="T3" s="4">
        <f>DRN_aprēķins!I22</f>
        <v>83496</v>
      </c>
      <c r="U3" s="4">
        <f>DRN_aprēķins!J22</f>
        <v>0</v>
      </c>
    </row>
    <row r="4" spans="1:21" ht="30">
      <c r="A4" s="3">
        <v>2</v>
      </c>
      <c r="B4" s="55" t="s">
        <v>31</v>
      </c>
      <c r="C4" s="11" t="s">
        <v>32</v>
      </c>
      <c r="D4" s="3">
        <v>0</v>
      </c>
      <c r="E4" s="3">
        <v>0</v>
      </c>
      <c r="F4" s="3">
        <v>0</v>
      </c>
      <c r="G4" s="44">
        <f>DRN_aprēķins!H28</f>
        <v>22264.67075058903</v>
      </c>
      <c r="H4" s="4">
        <f>DRN_aprēķins!I28</f>
        <v>13358.802450353418</v>
      </c>
      <c r="I4" s="4">
        <f>DRN_aprēķins!J28</f>
        <v>8905.868300235612</v>
      </c>
      <c r="J4" s="3">
        <v>0</v>
      </c>
      <c r="K4" s="3">
        <v>0</v>
      </c>
      <c r="L4" s="3">
        <v>0</v>
      </c>
      <c r="M4" s="44">
        <f>DRN_aprēķins!H29</f>
        <v>89058.68300235612</v>
      </c>
      <c r="N4" s="4">
        <f>DRN_aprēķins!I29</f>
        <v>53435.20980141367</v>
      </c>
      <c r="O4" s="4">
        <f>DRN_aprēķins!J29</f>
        <v>35623.47320094245</v>
      </c>
      <c r="P4" s="3">
        <v>0</v>
      </c>
      <c r="Q4" s="3">
        <v>0</v>
      </c>
      <c r="R4" s="3">
        <v>0</v>
      </c>
      <c r="S4" s="44">
        <f>DRN_aprēķins!H30</f>
        <v>89058.68300235612</v>
      </c>
      <c r="T4" s="4">
        <f>DRN_aprēķins!I30</f>
        <v>53435.20980141367</v>
      </c>
      <c r="U4" s="4">
        <f>DRN_aprēķins!J30</f>
        <v>35623.47320094245</v>
      </c>
    </row>
    <row r="5" spans="1:21" ht="42.75" customHeight="1">
      <c r="A5" s="7">
        <v>3</v>
      </c>
      <c r="B5" s="69" t="s">
        <v>25</v>
      </c>
      <c r="C5" s="70" t="s">
        <v>28</v>
      </c>
      <c r="D5" s="8">
        <f>DRN_aprēķins!E33</f>
        <v>2805000</v>
      </c>
      <c r="E5" s="8">
        <f>DRN_aprēķins!F33</f>
        <v>2805000</v>
      </c>
      <c r="F5" s="8">
        <f>DRN_aprēķins!G33</f>
        <v>0</v>
      </c>
      <c r="G5" s="9">
        <f>DRN_aprēķins!H34</f>
        <v>2805000</v>
      </c>
      <c r="H5" s="8">
        <f>DRN_aprēķins!H34</f>
        <v>2805000</v>
      </c>
      <c r="I5" s="8">
        <f>DRN_aprēķins!J34</f>
        <v>0</v>
      </c>
      <c r="J5" s="8">
        <f>DRN_aprēķins!E36</f>
        <v>2805000</v>
      </c>
      <c r="K5" s="8">
        <f>DRN_aprēķins!F36</f>
        <v>2805000</v>
      </c>
      <c r="L5" s="8">
        <f>DRN_aprēķins!G36</f>
        <v>0</v>
      </c>
      <c r="M5" s="9">
        <f>DRN_aprēķins!H37</f>
        <v>2524500</v>
      </c>
      <c r="N5" s="8">
        <f>DRN_aprēķins!H37</f>
        <v>2524500</v>
      </c>
      <c r="O5" s="8">
        <f>DRN_aprēķins!J34</f>
        <v>0</v>
      </c>
      <c r="P5" s="8">
        <f>DRN_aprēķins!E39</f>
        <v>2805000</v>
      </c>
      <c r="Q5" s="8">
        <f>DRN_aprēķins!F39</f>
        <v>2805000</v>
      </c>
      <c r="R5" s="8">
        <f>DRN_aprēķins!G39</f>
        <v>0</v>
      </c>
      <c r="S5" s="9">
        <f>DRN_aprēķins!H40</f>
        <v>2258025</v>
      </c>
      <c r="T5" s="8">
        <f>DRN_aprēķins!H40</f>
        <v>2258025</v>
      </c>
      <c r="U5" s="8">
        <f>DRN_aprēķins!J40</f>
        <v>0</v>
      </c>
    </row>
    <row r="6" spans="1:21" ht="30" customHeight="1">
      <c r="A6" s="3">
        <v>4</v>
      </c>
      <c r="B6" s="60" t="s">
        <v>26</v>
      </c>
      <c r="C6" s="11" t="s">
        <v>29</v>
      </c>
      <c r="D6" s="4">
        <f>DRN_aprēķins!E43</f>
        <v>0</v>
      </c>
      <c r="E6" s="4">
        <f>DRN_aprēķins!F43</f>
        <v>0</v>
      </c>
      <c r="F6" s="4">
        <f>DRN_aprēķins!G43</f>
        <v>0</v>
      </c>
      <c r="G6" s="44">
        <f>DRN_aprēķins!H44</f>
        <v>562500</v>
      </c>
      <c r="H6" s="4">
        <f>DRN_aprēķins!H44</f>
        <v>562500</v>
      </c>
      <c r="I6" s="4">
        <f>DRN_aprēķins!J34</f>
        <v>0</v>
      </c>
      <c r="J6" s="4">
        <f>DRN_aprēķins!E45</f>
        <v>0</v>
      </c>
      <c r="K6" s="4">
        <f>DRN_aprēķins!F45</f>
        <v>0</v>
      </c>
      <c r="L6" s="4">
        <f>DRN_aprēķins!G45</f>
        <v>0</v>
      </c>
      <c r="M6" s="44">
        <f>DRN_aprēķins!H46</f>
        <v>712500</v>
      </c>
      <c r="N6" s="44">
        <f>DRN_aprēķins!H46</f>
        <v>712500</v>
      </c>
      <c r="O6" s="4">
        <f>DRN_aprēķins!J46</f>
        <v>0</v>
      </c>
      <c r="P6" s="4">
        <f>DRN_aprēķins!E47</f>
        <v>0</v>
      </c>
      <c r="Q6" s="4">
        <f>DRN_aprēķins!F47</f>
        <v>0</v>
      </c>
      <c r="R6" s="4">
        <f>DRN_aprēķins!G47</f>
        <v>0</v>
      </c>
      <c r="S6" s="44">
        <f>DRN_aprēķins!H48</f>
        <v>676875</v>
      </c>
      <c r="T6" s="44">
        <f>DRN_aprēķins!H48</f>
        <v>676875</v>
      </c>
      <c r="U6" s="4">
        <f>DRN_aprēķins!J48</f>
        <v>0</v>
      </c>
    </row>
    <row r="7" spans="1:21" ht="30" customHeight="1">
      <c r="A7" s="88">
        <v>5</v>
      </c>
      <c r="B7" s="60" t="s">
        <v>44</v>
      </c>
      <c r="C7" s="11" t="s">
        <v>47</v>
      </c>
      <c r="D7" s="87">
        <f>DRN_aprēķins!E51</f>
        <v>12452500</v>
      </c>
      <c r="E7" s="87">
        <f>DRN_aprēķins!F51</f>
        <v>11207250</v>
      </c>
      <c r="F7" s="87">
        <f>DRN_aprēķins!G51</f>
        <v>1245250</v>
      </c>
      <c r="G7" s="44">
        <f>DRN_aprēķins!H52</f>
        <v>1816875</v>
      </c>
      <c r="H7" s="87">
        <f>DRN_aprēķins!I52</f>
        <v>1635187.5</v>
      </c>
      <c r="I7" s="87">
        <f>DRN_aprēķins!J52</f>
        <v>181687.5</v>
      </c>
      <c r="J7" s="87">
        <f>DRN_aprēķins!E53</f>
        <v>14161531.25</v>
      </c>
      <c r="K7" s="87">
        <f>DRN_aprēķins!F53</f>
        <v>12037301.5625</v>
      </c>
      <c r="L7" s="87">
        <f>DRN_aprēķins!G53</f>
        <v>2124229.6875</v>
      </c>
      <c r="M7" s="44">
        <f>DRN_aprēķins!H54</f>
        <v>2331656.25</v>
      </c>
      <c r="N7" s="44">
        <f>DRN_aprēķins!I54</f>
        <v>1981907.8125</v>
      </c>
      <c r="O7" s="87">
        <f>DRN_aprēķins!J54</f>
        <v>349748.4375</v>
      </c>
      <c r="P7" s="87">
        <f>DRN_aprēķins!E55</f>
        <v>14575375</v>
      </c>
      <c r="Q7" s="87">
        <f>DRN_aprēķins!F55</f>
        <v>12389068.75</v>
      </c>
      <c r="R7" s="87">
        <f>DRN_aprēķins!G55</f>
        <v>2186306.25</v>
      </c>
      <c r="S7" s="44">
        <f>DRN_aprēķins!H56</f>
        <v>2761650</v>
      </c>
      <c r="T7" s="44">
        <f>DRN_aprēķins!I56</f>
        <v>2347402.5</v>
      </c>
      <c r="U7" s="87">
        <f>DRN_aprēķins!J56</f>
        <v>414247.5</v>
      </c>
    </row>
    <row r="8" spans="1:21" ht="30" customHeight="1">
      <c r="A8" s="88">
        <v>6</v>
      </c>
      <c r="B8" s="60" t="s">
        <v>45</v>
      </c>
      <c r="C8" s="11" t="s">
        <v>48</v>
      </c>
      <c r="D8" s="87">
        <f>DRN_aprēķins!E59</f>
        <v>204767.5</v>
      </c>
      <c r="E8" s="87">
        <f>DRN_aprēķins!F59</f>
        <v>163814</v>
      </c>
      <c r="F8" s="87">
        <f>DRN_aprēķins!G59</f>
        <v>40953.5</v>
      </c>
      <c r="G8" s="44">
        <f>DRN_aprēķins!H60</f>
        <v>28035</v>
      </c>
      <c r="H8" s="87">
        <f>DRN_aprēķins!I60</f>
        <v>22428</v>
      </c>
      <c r="I8" s="87">
        <f>DRN_aprēķins!J60</f>
        <v>5607</v>
      </c>
      <c r="J8" s="87">
        <f>DRN_aprēķins!E61</f>
        <v>230509.465625</v>
      </c>
      <c r="K8" s="87">
        <f>DRN_aprēķins!F61</f>
        <v>184407.5725</v>
      </c>
      <c r="L8" s="87">
        <f>DRN_aprēķins!G61</f>
        <v>46101.893125</v>
      </c>
      <c r="M8" s="44">
        <f>DRN_aprēķins!H62</f>
        <v>35978.78437499999</v>
      </c>
      <c r="N8" s="44">
        <f>DRN_aprēķins!I62</f>
        <v>28783.027499999993</v>
      </c>
      <c r="O8" s="87">
        <f>DRN_aprēķins!J62</f>
        <v>7195.756874999998</v>
      </c>
      <c r="P8" s="87">
        <f>DRN_aprēķins!E63</f>
        <v>236700</v>
      </c>
      <c r="Q8" s="87">
        <f>DRN_aprēķins!F63</f>
        <v>189360</v>
      </c>
      <c r="R8" s="87">
        <f>DRN_aprēķins!G63</f>
        <v>47340</v>
      </c>
      <c r="S8" s="44">
        <f>DRN_aprēķins!H64</f>
        <v>42209.3125</v>
      </c>
      <c r="T8" s="44">
        <f>DRN_aprēķins!I64</f>
        <v>33767.450000000004</v>
      </c>
      <c r="U8" s="87">
        <f>DRN_aprēķins!J64</f>
        <v>8441.862500000001</v>
      </c>
    </row>
    <row r="9" spans="1:21" ht="30" customHeight="1">
      <c r="A9" s="88">
        <v>7</v>
      </c>
      <c r="B9" s="60" t="s">
        <v>46</v>
      </c>
      <c r="C9" s="11" t="s">
        <v>49</v>
      </c>
      <c r="D9" s="87">
        <f>DRN_aprēķins!E66</f>
        <v>950032.5</v>
      </c>
      <c r="E9" s="87">
        <f>DRN_aprēķins!F66</f>
        <v>570019.5</v>
      </c>
      <c r="F9" s="87">
        <f>DRN_aprēķins!G66</f>
        <v>380013</v>
      </c>
      <c r="G9" s="44">
        <f>DRN_aprēķins!H70</f>
        <v>247282.5</v>
      </c>
      <c r="H9" s="87">
        <f>DRN_aprēķins!I70</f>
        <v>148369.5</v>
      </c>
      <c r="I9" s="87">
        <f>DRN_aprēķins!J70</f>
        <v>98913</v>
      </c>
      <c r="J9" s="87">
        <f>DRN_aprēķins!E68</f>
        <v>1099575</v>
      </c>
      <c r="K9" s="87">
        <f>DRN_aprēķins!F67</f>
        <v>641418.75</v>
      </c>
      <c r="L9" s="87">
        <f>DRN_aprēķins!G67</f>
        <v>427612.5</v>
      </c>
      <c r="M9" s="44">
        <f>DRN_aprēķins!H71</f>
        <v>288546.8062499999</v>
      </c>
      <c r="N9" s="44">
        <f>DRN_aprēķins!I71</f>
        <v>173128.08374999993</v>
      </c>
      <c r="O9" s="87">
        <f>DRN_aprēķins!J71</f>
        <v>115418.72249999997</v>
      </c>
      <c r="P9" s="87">
        <f>DRN_aprēķins!E68</f>
        <v>1099575</v>
      </c>
      <c r="Q9" s="87">
        <f>DRN_aprēķins!F68</f>
        <v>659745</v>
      </c>
      <c r="R9" s="87">
        <f>DRN_aprēķins!G68</f>
        <v>439830</v>
      </c>
      <c r="S9" s="44">
        <f>DRN_aprēķins!H72</f>
        <v>245392.1527499999</v>
      </c>
      <c r="T9" s="44">
        <f>DRN_aprēķins!I72</f>
        <v>147235.29164999994</v>
      </c>
      <c r="U9" s="87">
        <f>DRN_aprēķins!J72</f>
        <v>98156.86109999997</v>
      </c>
    </row>
    <row r="10" spans="1:21" ht="30" customHeight="1">
      <c r="A10" s="88">
        <v>8</v>
      </c>
      <c r="B10" s="60" t="s">
        <v>51</v>
      </c>
      <c r="C10" s="11" t="s">
        <v>52</v>
      </c>
      <c r="D10" s="87">
        <f>DRN_aprēķins!E74</f>
        <v>0</v>
      </c>
      <c r="E10" s="87">
        <f>DRN_aprēķins!D74</f>
        <v>0</v>
      </c>
      <c r="F10" s="87">
        <f>DRN_aprēķins!F74</f>
        <v>0</v>
      </c>
      <c r="G10" s="44">
        <f>DRN_aprēķins!H78</f>
        <v>0</v>
      </c>
      <c r="H10" s="87">
        <f>DRN_aprēķins!I78</f>
        <v>0</v>
      </c>
      <c r="I10" s="87">
        <f>DRN_aprēķins!J78</f>
        <v>0</v>
      </c>
      <c r="J10" s="87">
        <f>DRN_aprēķins!E75</f>
        <v>0</v>
      </c>
      <c r="K10" s="87">
        <f>DRN_aprēķins!F75</f>
        <v>0</v>
      </c>
      <c r="L10" s="87">
        <f>DRN_aprēķins!G75</f>
        <v>0</v>
      </c>
      <c r="M10" s="44">
        <f>DRN_aprēķins!H79</f>
        <v>20800000</v>
      </c>
      <c r="N10" s="44">
        <f>DRN_aprēķins!I79</f>
        <v>20800000</v>
      </c>
      <c r="O10" s="87">
        <f>DRN_aprēķins!J79</f>
        <v>0</v>
      </c>
      <c r="P10" s="87">
        <f>DRN_aprēķins!E76</f>
        <v>0</v>
      </c>
      <c r="Q10" s="87">
        <f>DRN_aprēķins!F76</f>
        <v>0</v>
      </c>
      <c r="R10" s="87">
        <f>DRN_aprēķins!G76</f>
        <v>0</v>
      </c>
      <c r="S10" s="44">
        <f>DRN_aprēķins!H80</f>
        <v>19760000</v>
      </c>
      <c r="T10" s="44">
        <f>DRN_aprēķins!I80</f>
        <v>19760000</v>
      </c>
      <c r="U10" s="87">
        <f>DRN_aprēķins!J80</f>
        <v>0</v>
      </c>
    </row>
    <row r="11" spans="1:21" ht="29.25" customHeight="1">
      <c r="A11" s="3"/>
      <c r="B11" s="47" t="s">
        <v>18</v>
      </c>
      <c r="C11" s="3"/>
      <c r="D11" s="57">
        <f>SUM(D3:D10)</f>
        <v>16412300</v>
      </c>
      <c r="E11" s="57">
        <f aca="true" t="shared" si="0" ref="E11:U11">SUM(E3:E10)</f>
        <v>14746083.5</v>
      </c>
      <c r="F11" s="57">
        <f t="shared" si="0"/>
        <v>1666216.5</v>
      </c>
      <c r="G11" s="58">
        <f>SUM(G3:G10)</f>
        <v>5609757.170750589</v>
      </c>
      <c r="H11" s="58">
        <f t="shared" si="0"/>
        <v>5314643.802450353</v>
      </c>
      <c r="I11" s="58">
        <f t="shared" si="0"/>
        <v>295113.3683002356</v>
      </c>
      <c r="J11" s="57">
        <f t="shared" si="0"/>
        <v>18296615.715625</v>
      </c>
      <c r="K11" s="57">
        <f t="shared" si="0"/>
        <v>15668127.885</v>
      </c>
      <c r="L11" s="57">
        <f t="shared" si="0"/>
        <v>2597944.080625</v>
      </c>
      <c r="M11" s="58">
        <f t="shared" si="0"/>
        <v>26901520.523627356</v>
      </c>
      <c r="N11" s="58">
        <f t="shared" si="0"/>
        <v>26393534.13355141</v>
      </c>
      <c r="O11" s="58">
        <f t="shared" si="0"/>
        <v>507986.39007594244</v>
      </c>
      <c r="P11" s="57">
        <f t="shared" si="0"/>
        <v>18716650</v>
      </c>
      <c r="Q11" s="57">
        <f t="shared" si="0"/>
        <v>16043173.75</v>
      </c>
      <c r="R11" s="57">
        <f t="shared" si="0"/>
        <v>2673476.25</v>
      </c>
      <c r="S11" s="58">
        <f t="shared" si="0"/>
        <v>25916706.148252357</v>
      </c>
      <c r="T11" s="58">
        <f t="shared" si="0"/>
        <v>25360236.451451413</v>
      </c>
      <c r="U11" s="58">
        <f t="shared" si="0"/>
        <v>556469.6968009424</v>
      </c>
    </row>
    <row r="12" spans="1:2" ht="29.25" customHeight="1">
      <c r="A12" s="3"/>
      <c r="B12" s="56"/>
    </row>
    <row r="13" ht="77.25" customHeight="1">
      <c r="A13" s="3">
        <v>6</v>
      </c>
    </row>
    <row r="14" ht="15">
      <c r="A14" s="3"/>
    </row>
  </sheetData>
  <sheetProtection/>
  <mergeCells count="6">
    <mergeCell ref="D1:I1"/>
    <mergeCell ref="J1:O1"/>
    <mergeCell ref="P1:U1"/>
    <mergeCell ref="B1:B2"/>
    <mergeCell ref="A1:A2"/>
    <mergeCell ref="C1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"Grozījumi Dabas resursu nodokļa likumā"</dc:title>
  <dc:subject>Anotācijas pielikums</dc:subject>
  <dc:creator>Kristīne Gāga</dc:creator>
  <cp:keywords/>
  <dc:description>kristine.gaga@varam.gov.lv, 67026518</dc:description>
  <cp:lastModifiedBy>Lita Trakina</cp:lastModifiedBy>
  <cp:lastPrinted>2020-08-18T15:56:16Z</cp:lastPrinted>
  <dcterms:created xsi:type="dcterms:W3CDTF">2016-08-19T07:31:39Z</dcterms:created>
  <dcterms:modified xsi:type="dcterms:W3CDTF">2021-05-31T14:43:52Z</dcterms:modified>
  <cp:category/>
  <cp:version/>
  <cp:contentType/>
  <cp:contentStatus/>
</cp:coreProperties>
</file>